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1"/>
  </bookViews>
  <sheets>
    <sheet name="Guidelines" sheetId="1" r:id="rId1"/>
    <sheet name="Cash-Flow-2020-Leva" sheetId="2" r:id="rId2"/>
    <sheet name="Cash-Flow-2020" sheetId="3" r:id="rId3"/>
  </sheets>
  <definedNames>
    <definedName name="Date" localSheetId="2">#REF!</definedName>
    <definedName name="Date">#REF!</definedName>
    <definedName name="_xlnm.Print_Area" localSheetId="2">'Cash-Flow-2020'!$B$1:$P$148</definedName>
    <definedName name="_xlnm.Print_Area" localSheetId="1">'Cash-Flow-2020-Leva'!$B$1:$P$148</definedName>
    <definedName name="_xlnm.Print_Area" localSheetId="0">'Guidelines'!$B$2:$N$207</definedName>
    <definedName name="_xlnm.Print_Titles" localSheetId="2">'Cash-Flow-2020'!$10:$12</definedName>
    <definedName name="_xlnm.Print_Titles" localSheetId="1">'Cash-Flow-2020-Leva'!$10:$12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<sst xmlns="http://schemas.openxmlformats.org/spreadsheetml/2006/main" count="676" uniqueCount="461">
  <si>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</si>
  <si>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</si>
  <si>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</si>
  <si>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</si>
  <si>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</si>
  <si>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</si>
  <si>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</si>
  <si>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</si>
  <si>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</si>
  <si>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</si>
  <si>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</si>
  <si>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</si>
  <si>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</si>
  <si>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</si>
  <si>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</si>
  <si>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</si>
  <si>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</si>
  <si>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</si>
  <si>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</si>
  <si>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</si>
  <si>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</si>
  <si>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</si>
  <si>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</si>
  <si>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</si>
  <si>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</si>
  <si>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</si>
  <si>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</si>
  <si>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</si>
  <si>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</si>
  <si>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</si>
  <si>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</si>
  <si>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</si>
  <si>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</si>
  <si>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</si>
  <si>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</si>
  <si>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</si>
  <si>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</si>
  <si>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</si>
  <si>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</si>
  <si>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</si>
  <si>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</si>
  <si>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</si>
  <si>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</si>
  <si>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</si>
  <si>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</si>
  <si>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</si>
  <si>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</si>
  <si>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</si>
  <si>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</si>
  <si>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</si>
  <si>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</si>
  <si>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</si>
  <si>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</si>
  <si>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</si>
  <si>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</si>
  <si>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</si>
  <si>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</si>
  <si>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</si>
  <si>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</si>
  <si>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</si>
  <si>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</si>
  <si>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</si>
  <si>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</si>
  <si>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</si>
  <si>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</si>
  <si>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</si>
  <si>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</si>
  <si>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</si>
  <si>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</si>
  <si>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</si>
  <si>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</si>
  <si>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</si>
  <si>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</si>
  <si>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</si>
  <si>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</si>
  <si>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</si>
  <si>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</si>
  <si>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</si>
  <si>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</si>
  <si>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</si>
  <si>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</si>
  <si>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</si>
  <si>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</si>
  <si>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</si>
  <si>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</si>
  <si>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</si>
  <si>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</si>
  <si>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</si>
  <si>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</si>
  <si>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</si>
  <si>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</si>
  <si>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</si>
  <si>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</si>
  <si>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</si>
  <si>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</si>
  <si>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</si>
  <si>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</si>
  <si>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</si>
  <si>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</si>
  <si>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</si>
  <si>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</si>
  <si>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</si>
  <si>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</si>
  <si>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</si>
  <si>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</si>
  <si>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</si>
  <si>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</si>
  <si>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</si>
  <si>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</si>
  <si>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</si>
  <si>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</si>
  <si>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</si>
  <si>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</si>
  <si>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</si>
  <si>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</si>
  <si>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</si>
  <si>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</si>
  <si>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</si>
  <si>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</si>
  <si>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</si>
  <si>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</si>
  <si>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</si>
  <si>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</si>
  <si>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</si>
  <si>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</si>
  <si>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</si>
  <si>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</si>
  <si>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</si>
  <si>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</si>
  <si>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</si>
  <si>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</si>
  <si>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</si>
  <si>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</si>
  <si>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</si>
  <si>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</si>
  <si>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</si>
  <si>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</si>
  <si>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</si>
  <si>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</si>
  <si>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</si>
  <si>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</si>
  <si>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</si>
  <si>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</si>
  <si>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</si>
  <si>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</si>
  <si>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</si>
  <si>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</si>
  <si>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</si>
  <si>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</si>
  <si>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</si>
  <si>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</si>
  <si>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</si>
  <si>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</si>
  <si>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</si>
  <si>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</si>
  <si>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</si>
  <si>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</si>
  <si>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</si>
  <si>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</si>
  <si>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</si>
  <si>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</si>
  <si>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</si>
  <si>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</si>
  <si>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</si>
  <si>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</si>
  <si>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</si>
  <si>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</si>
  <si>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</si>
  <si>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</si>
  <si>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</si>
  <si>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</si>
  <si>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</si>
  <si>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</si>
  <si>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</si>
  <si>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</si>
  <si>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</si>
  <si>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</si>
  <si>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</si>
  <si>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</si>
  <si>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</si>
  <si>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</si>
  <si>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</si>
  <si>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</si>
  <si>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</si>
  <si>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</si>
  <si>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</si>
  <si>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</si>
  <si>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</si>
  <si>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</si>
  <si>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</si>
  <si>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</si>
  <si>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</si>
  <si>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</si>
  <si>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</si>
  <si>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</si>
  <si>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</si>
  <si>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</si>
  <si>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</si>
  <si>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</si>
  <si>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</si>
  <si>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</si>
  <si>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</si>
  <si>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</si>
  <si>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</si>
  <si>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</si>
  <si>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</si>
  <si>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</si>
  <si>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</si>
  <si>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</si>
  <si>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</si>
  <si>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</si>
  <si>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</si>
  <si>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</si>
  <si>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</si>
  <si>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</si>
  <si>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</si>
  <si>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</si>
  <si>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</si>
  <si>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</si>
  <si>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</si>
  <si>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</si>
  <si>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</si>
  <si>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</si>
  <si>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</si>
  <si>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</si>
  <si>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</si>
  <si>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</si>
  <si>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</si>
  <si>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</si>
  <si>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</si>
  <si>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</si>
  <si>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</si>
  <si>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</si>
  <si>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</si>
  <si>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</si>
  <si>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</si>
  <si>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</si>
  <si>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</si>
  <si>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</si>
  <si>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</si>
  <si>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</si>
  <si>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</si>
  <si>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</si>
  <si>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</si>
  <si>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</si>
  <si>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</si>
  <si>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</si>
  <si>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</si>
  <si>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</si>
  <si>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</si>
  <si>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</si>
  <si>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</si>
  <si>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</si>
  <si>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</si>
  <si>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</si>
  <si>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</si>
  <si>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</si>
  <si>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</si>
  <si>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</si>
  <si>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</si>
  <si>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</si>
  <si>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</si>
  <si>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</si>
  <si>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</si>
  <si>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</si>
  <si>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</si>
  <si>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</si>
  <si>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</si>
  <si>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</si>
  <si>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</si>
  <si>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</si>
  <si>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</si>
  <si>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</si>
  <si>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</si>
  <si>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</si>
  <si>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</si>
  <si>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</si>
  <si>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</si>
  <si>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</si>
  <si>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</si>
  <si>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</si>
  <si>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</si>
  <si>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</si>
  <si>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</si>
  <si>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</si>
  <si>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</si>
  <si>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</si>
  <si>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</si>
  <si>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</si>
  <si>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>31.01.2020 г.</t>
  </si>
  <si>
    <t>28.02.2020 г.</t>
  </si>
  <si>
    <t>31.03.2020 г.</t>
  </si>
  <si>
    <t>30.04.2020 г.</t>
  </si>
  <si>
    <t>31.05.2020 г.</t>
  </si>
  <si>
    <t>30.06.2020 г.</t>
  </si>
  <si>
    <t>31.07.2020 г.</t>
  </si>
  <si>
    <t>31.08.2020 г.</t>
  </si>
  <si>
    <t>30.09.2020 г.</t>
  </si>
  <si>
    <t>31.10.2020 г.</t>
  </si>
  <si>
    <t>30.11.2020 г.</t>
  </si>
  <si>
    <t>31.12.2020 г.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</si>
  <si>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</si>
  <si>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</si>
  <si>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</si>
  <si>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</si>
  <si>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</si>
  <si>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</si>
  <si>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</si>
  <si>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</si>
  <si>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</si>
  <si>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</si>
  <si>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</si>
  <si>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</si>
  <si>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</si>
  <si>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</si>
  <si>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</si>
  <si>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</si>
  <si>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</si>
  <si>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</si>
  <si>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</si>
  <si>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</si>
  <si>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</si>
  <si>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</si>
  <si>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</si>
  <si>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</si>
  <si>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</si>
  <si>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</si>
  <si>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</si>
  <si>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</si>
  <si>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</si>
  <si>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</si>
  <si>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</si>
  <si>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</si>
  <si>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</si>
  <si>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</si>
  <si>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</si>
  <si>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</si>
  <si>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</si>
  <si>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</si>
  <si>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</si>
  <si>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</si>
  <si>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</si>
  <si>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</si>
  <si>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</si>
  <si>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</si>
  <si>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</si>
  <si>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</si>
  <si>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</si>
  <si>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</si>
  <si>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</si>
  <si>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</si>
  <si>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</si>
  <si>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</si>
  <si>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</si>
  <si>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</si>
  <si>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</si>
  <si>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</si>
  <si>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</si>
  <si>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</si>
  <si>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</si>
  <si>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</si>
  <si>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</si>
  <si>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</si>
  <si>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</si>
  <si>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</si>
  <si>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</si>
  <si>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</si>
  <si>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</si>
  <si>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</si>
  <si>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</si>
  <si>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</si>
  <si>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</si>
  <si>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</si>
  <si>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</si>
  <si>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</si>
  <si>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</si>
  <si>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</si>
  <si>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</si>
  <si>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</si>
  <si>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</si>
  <si>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</si>
  <si>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</si>
  <si>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</si>
  <si>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</si>
  <si>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</si>
  <si>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</si>
  <si>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</si>
  <si>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</si>
  <si>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</si>
  <si>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</si>
  <si>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</si>
  <si>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</si>
  <si>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</si>
  <si>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</si>
  <si>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</si>
  <si>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</si>
  <si>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</si>
  <si>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</si>
  <si>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</si>
  <si>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</si>
  <si>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</si>
  <si>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</si>
  <si>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</si>
  <si>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</si>
  <si>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</si>
  <si>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</si>
  <si>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</si>
  <si>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</si>
  <si>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</si>
  <si>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</si>
  <si>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</si>
  <si>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</si>
  <si>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</si>
  <si>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</si>
  <si>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</si>
  <si>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</si>
  <si>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</si>
  <si>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</si>
  <si>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</si>
  <si>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</si>
  <si>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</si>
  <si>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</si>
  <si>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</si>
  <si>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</si>
  <si>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</si>
  <si>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</si>
  <si>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</si>
  <si>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</si>
  <si>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</si>
  <si>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</si>
  <si>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</si>
  <si>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</si>
  <si>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</si>
  <si>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</si>
  <si>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</si>
  <si>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</si>
  <si>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</si>
  <si>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</si>
  <si>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</si>
  <si>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</si>
  <si>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</si>
  <si>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</si>
  <si>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</si>
  <si>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</si>
  <si>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</si>
  <si>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</si>
  <si>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</si>
  <si>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</si>
  <si>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</si>
  <si>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</si>
  <si>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</si>
  <si>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</si>
  <si>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</si>
  <si>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</si>
  <si>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</si>
  <si>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Елия Ангелова</t>
  </si>
  <si>
    <t>Ивелин Савов</t>
  </si>
  <si>
    <t>Община Никопол</t>
  </si>
  <si>
    <t>s.stefanov@abv.bg</t>
  </si>
  <si>
    <t>nikopol-bg.com</t>
  </si>
  <si>
    <t>O65412519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</si>
</sst>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  <numFmt numFmtId="186" formatCode="&quot;'BALANCE-SHEET-&quot;0000&quot;-leva',&quot;"/>
    <numFmt numFmtId="187" formatCode="&quot;'BALANCE-SHEET-&quot;0000&quot;-leva'&quot;"/>
    <numFmt numFmtId="188" formatCode="&quot;'BALANCE-SHEET-&quot;0000&quot;-leva', колона (2), код 0080&quot;"/>
    <numFmt numFmtId="189" formatCode="&quot;'BALANCE-SHEET-&quot;0000&quot;-leva', колона (2), позиция - код 0080&quot;"/>
    <numFmt numFmtId="190" formatCode="&quot;'BALANCE-SHEET-&quot;0000&quot;-leva', колона (4), позиция - код 0080&quot;"/>
    <numFmt numFmtId="191" formatCode="&quot;'BALANCE-SHEET-&quot;0000&quot;-leva', колона (6), позиция - код 0080&quot;"/>
    <numFmt numFmtId="192" formatCode="&quot;'Cash-Flow-&quot;0000&quot;-leva':&quot;"/>
    <numFmt numFmtId="193" formatCode="&quot;'Cash-Flow-&quot;0000&quot;-leva'.&quot;"/>
    <numFmt numFmtId="194" formatCode="&quot;'BALANCE-SHEET-&quot;0000&quot;-leva', колона (1), позиция - код 0080&quot;"/>
    <numFmt numFmtId="195" formatCode="&quot;'BALANCE-SHEET-&quot;0000&quot;-leva', колона (3), позиция - код 0080&quot;"/>
    <numFmt numFmtId="196" formatCode="&quot;'BALANCE-SHEET-&quot;0000&quot;-leva', колона (5), позиция - код 0080&quot;"/>
    <numFmt numFmtId="197" formatCode="&quot;'BALANCE-SHEET-&quot;0000&quot;-leva' -  позиция - код 0080&quot;"/>
    <numFmt numFmtId="198" formatCode="&quot;'BALANCE-SHEET-&quot;0000&quot;-leva' -  позиция с код 0080&quot;"/>
    <numFmt numFmtId="199" formatCode="&quot;Касов отчет и Баланс - бр. неравнения: &quot;0"/>
    <numFmt numFmtId="200" formatCode="&quot;виж таблица 'Cash-Flow-&quot;0000&quot;-Leva'-редове 168 и 171&quot;"/>
    <numFmt numFmtId="201" formatCode="&quot;виж редове 168 и 171&quot;"/>
    <numFmt numFmtId="202" formatCode="&quot;'BALANCE-SHEET-&quot;0000&quot;-leva' - позиция с код 0080&quot;"/>
    <numFmt numFmtId="203" formatCode="dd\.mm\.yyyy\ &quot;г.&quot;;@"/>
    <numFmt numFmtId="204" formatCode="[$-402]dd\ mmmm\ yyyy\ &quot;г.&quot;"/>
    <numFmt numFmtId="205" formatCode="hh:mm:ss\ &quot;ч.&quot;"/>
  </numFmts>
  <fonts count="2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u val="single"/>
      <sz val="11"/>
      <color indexed="12"/>
      <name val="Calibri"/>
      <family val="2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6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3" fillId="27" borderId="2" applyNumberFormat="0" applyAlignment="0" applyProtection="0"/>
    <xf numFmtId="0" fontId="134" fillId="28" borderId="0" applyNumberFormat="0" applyBorder="0" applyAlignment="0" applyProtection="0"/>
    <xf numFmtId="0" fontId="135" fillId="0" borderId="0" applyNumberFormat="0" applyFill="0" applyBorder="0" applyAlignment="0" applyProtection="0"/>
    <xf numFmtId="0" fontId="136" fillId="0" borderId="3" applyNumberFormat="0" applyFill="0" applyAlignment="0" applyProtection="0"/>
    <xf numFmtId="0" fontId="137" fillId="0" borderId="4" applyNumberFormat="0" applyFill="0" applyAlignment="0" applyProtection="0"/>
    <xf numFmtId="0" fontId="138" fillId="0" borderId="5" applyNumberFormat="0" applyFill="0" applyAlignment="0" applyProtection="0"/>
    <xf numFmtId="0" fontId="1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9" fillId="29" borderId="6" applyNumberFormat="0" applyAlignment="0" applyProtection="0"/>
    <xf numFmtId="0" fontId="140" fillId="29" borderId="2" applyNumberFormat="0" applyAlignment="0" applyProtection="0"/>
    <xf numFmtId="0" fontId="141" fillId="30" borderId="7" applyNumberFormat="0" applyAlignment="0" applyProtection="0"/>
    <xf numFmtId="0" fontId="142" fillId="31" borderId="0" applyNumberFormat="0" applyBorder="0" applyAlignment="0" applyProtection="0"/>
    <xf numFmtId="0" fontId="143" fillId="32" borderId="0" applyNumberFormat="0" applyBorder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7" fillId="0" borderId="8" applyNumberFormat="0" applyFill="0" applyAlignment="0" applyProtection="0"/>
    <xf numFmtId="0" fontId="148" fillId="0" borderId="9" applyNumberFormat="0" applyFill="0" applyAlignment="0" applyProtection="0"/>
    <xf numFmtId="0" fontId="149" fillId="0" borderId="0" applyNumberFormat="0" applyFill="0" applyBorder="0" applyAlignment="0" applyProtection="0"/>
  </cellStyleXfs>
  <cellXfs count="82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40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40" applyFont="1" applyFill="1" applyBorder="1" applyAlignment="1" applyProtection="1">
      <alignment horizontal="center"/>
      <protection/>
    </xf>
    <xf numFmtId="0" fontId="9" fillId="26" borderId="0" xfId="34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40" applyFont="1" applyFill="1" applyProtection="1">
      <alignment/>
      <protection/>
    </xf>
    <xf numFmtId="166" fontId="9" fillId="26" borderId="0" xfId="43" applyNumberFormat="1" applyFont="1" applyFill="1" applyAlignment="1" applyProtection="1">
      <alignment/>
      <protection/>
    </xf>
    <xf numFmtId="38" fontId="9" fillId="26" borderId="0" xfId="43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50" fillId="26" borderId="0" xfId="40" applyFont="1" applyFill="1" applyAlignment="1" applyProtection="1">
      <alignment horizontal="right"/>
      <protection/>
    </xf>
    <xf numFmtId="0" fontId="151" fillId="26" borderId="0" xfId="40" applyFont="1" applyFill="1" applyBorder="1" applyAlignment="1" applyProtection="1">
      <alignment horizontal="center"/>
      <protection/>
    </xf>
    <xf numFmtId="166" fontId="152" fillId="26" borderId="0" xfId="43" applyNumberFormat="1" applyFont="1" applyFill="1" applyAlignment="1" applyProtection="1">
      <alignment/>
      <protection/>
    </xf>
    <xf numFmtId="0" fontId="150" fillId="26" borderId="0" xfId="34" applyFont="1" applyFill="1" applyAlignment="1" applyProtection="1" quotePrefix="1">
      <alignment/>
      <protection/>
    </xf>
    <xf numFmtId="0" fontId="152" fillId="35" borderId="0" xfId="42" applyFont="1" applyFill="1" applyAlignment="1" applyProtection="1">
      <alignment horizontal="left"/>
      <protection/>
    </xf>
    <xf numFmtId="0" fontId="13" fillId="26" borderId="0" xfId="42" applyFont="1" applyFill="1" applyAlignment="1" applyProtection="1">
      <alignment horizontal="right"/>
      <protection/>
    </xf>
    <xf numFmtId="165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65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40" applyFont="1" applyFill="1" applyBorder="1" applyAlignment="1" applyProtection="1">
      <alignment horizontal="center"/>
      <protection/>
    </xf>
    <xf numFmtId="0" fontId="14" fillId="33" borderId="0" xfId="40" applyFont="1" applyFill="1" applyProtection="1">
      <alignment/>
      <protection/>
    </xf>
    <xf numFmtId="0" fontId="9" fillId="33" borderId="0" xfId="34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43" applyNumberFormat="1" applyFont="1" applyFill="1" applyAlignment="1" applyProtection="1">
      <alignment/>
      <protection/>
    </xf>
    <xf numFmtId="38" fontId="9" fillId="33" borderId="0" xfId="43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42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42" applyFont="1" applyFill="1" applyAlignment="1" applyProtection="1">
      <alignment horizontal="left"/>
      <protection/>
    </xf>
    <xf numFmtId="0" fontId="8" fillId="33" borderId="0" xfId="34" applyFont="1" applyFill="1" applyAlignment="1" applyProtection="1" quotePrefix="1">
      <alignment/>
      <protection/>
    </xf>
    <xf numFmtId="0" fontId="20" fillId="33" borderId="0" xfId="40" applyFont="1" applyFill="1" applyAlignment="1" applyProtection="1">
      <alignment horizontal="right"/>
      <protection/>
    </xf>
    <xf numFmtId="0" fontId="21" fillId="37" borderId="0" xfId="34" applyFont="1" applyFill="1">
      <alignment/>
      <protection/>
    </xf>
    <xf numFmtId="0" fontId="21" fillId="0" borderId="0" xfId="34" applyFont="1" applyFill="1">
      <alignment/>
      <protection/>
    </xf>
    <xf numFmtId="0" fontId="9" fillId="38" borderId="12" xfId="34" applyFont="1" applyFill="1" applyBorder="1">
      <alignment/>
      <protection/>
    </xf>
    <xf numFmtId="0" fontId="9" fillId="38" borderId="0" xfId="34" applyFont="1" applyFill="1" applyBorder="1">
      <alignment/>
      <protection/>
    </xf>
    <xf numFmtId="0" fontId="9" fillId="38" borderId="13" xfId="34" applyFont="1" applyFill="1" applyBorder="1">
      <alignment/>
      <protection/>
    </xf>
    <xf numFmtId="0" fontId="20" fillId="38" borderId="12" xfId="34" applyFont="1" applyFill="1" applyBorder="1" applyAlignment="1">
      <alignment horizontal="right"/>
      <protection/>
    </xf>
    <xf numFmtId="0" fontId="20" fillId="38" borderId="0" xfId="34" applyFont="1" applyFill="1" applyBorder="1">
      <alignment/>
      <protection/>
    </xf>
    <xf numFmtId="167" fontId="20" fillId="38" borderId="0" xfId="34" applyNumberFormat="1" applyFont="1" applyFill="1" applyBorder="1" applyAlignment="1">
      <alignment horizontal="right"/>
      <protection/>
    </xf>
    <xf numFmtId="0" fontId="20" fillId="38" borderId="0" xfId="34" applyFont="1" applyFill="1" applyBorder="1">
      <alignment/>
      <protection/>
    </xf>
    <xf numFmtId="0" fontId="16" fillId="38" borderId="0" xfId="34" applyFont="1" applyFill="1" applyBorder="1">
      <alignment/>
      <protection/>
    </xf>
    <xf numFmtId="0" fontId="16" fillId="38" borderId="13" xfId="34" applyFont="1" applyFill="1" applyBorder="1">
      <alignment/>
      <protection/>
    </xf>
    <xf numFmtId="0" fontId="9" fillId="0" borderId="0" xfId="34" applyFont="1" applyFill="1">
      <alignment/>
      <protection/>
    </xf>
    <xf numFmtId="0" fontId="9" fillId="38" borderId="14" xfId="34" applyFont="1" applyFill="1" applyBorder="1">
      <alignment/>
      <protection/>
    </xf>
    <xf numFmtId="0" fontId="9" fillId="38" borderId="15" xfId="34" applyFont="1" applyFill="1" applyBorder="1">
      <alignment/>
      <protection/>
    </xf>
    <xf numFmtId="0" fontId="22" fillId="38" borderId="15" xfId="34" applyFont="1" applyFill="1" applyBorder="1">
      <alignment/>
      <protection/>
    </xf>
    <xf numFmtId="0" fontId="9" fillId="38" borderId="16" xfId="34" applyFont="1" applyFill="1" applyBorder="1">
      <alignment/>
      <protection/>
    </xf>
    <xf numFmtId="0" fontId="9" fillId="37" borderId="0" xfId="34" applyFont="1" applyFill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2" fillId="38" borderId="0" xfId="34" applyFont="1" applyFill="1" applyBorder="1">
      <alignment/>
      <protection/>
    </xf>
    <xf numFmtId="0" fontId="9" fillId="26" borderId="19" xfId="34" applyFont="1" applyFill="1" applyBorder="1">
      <alignment/>
      <protection/>
    </xf>
    <xf numFmtId="0" fontId="9" fillId="26" borderId="20" xfId="34" applyFont="1" applyFill="1" applyBorder="1">
      <alignment/>
      <protection/>
    </xf>
    <xf numFmtId="0" fontId="9" fillId="26" borderId="21" xfId="34" applyFont="1" applyFill="1" applyBorder="1">
      <alignment/>
      <protection/>
    </xf>
    <xf numFmtId="0" fontId="9" fillId="26" borderId="0" xfId="34" applyFont="1" applyFill="1" applyBorder="1">
      <alignment/>
      <protection/>
    </xf>
    <xf numFmtId="172" fontId="153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4" applyFont="1" applyFill="1" applyBorder="1">
      <alignment/>
      <protection/>
    </xf>
    <xf numFmtId="0" fontId="154" fillId="26" borderId="0" xfId="0" applyFont="1" applyFill="1" applyBorder="1" applyAlignment="1" applyProtection="1">
      <alignment/>
      <protection/>
    </xf>
    <xf numFmtId="0" fontId="9" fillId="38" borderId="23" xfId="34" applyFont="1" applyFill="1" applyBorder="1">
      <alignment/>
      <protection/>
    </xf>
    <xf numFmtId="167" fontId="20" fillId="38" borderId="20" xfId="34" applyNumberFormat="1" applyFont="1" applyFill="1" applyBorder="1" applyAlignment="1">
      <alignment horizontal="right"/>
      <protection/>
    </xf>
    <xf numFmtId="0" fontId="9" fillId="38" borderId="20" xfId="34" applyFont="1" applyFill="1" applyBorder="1">
      <alignment/>
      <protection/>
    </xf>
    <xf numFmtId="0" fontId="9" fillId="38" borderId="24" xfId="34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5" fillId="39" borderId="22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43" applyNumberFormat="1" applyFont="1" applyFill="1" applyAlignment="1" applyProtection="1">
      <alignment/>
      <protection/>
    </xf>
    <xf numFmtId="174" fontId="14" fillId="37" borderId="0" xfId="42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2" fontId="156" fillId="40" borderId="22" xfId="0" applyNumberFormat="1" applyFont="1" applyFill="1" applyBorder="1" applyAlignment="1" applyProtection="1" quotePrefix="1">
      <alignment horizontal="center" vertical="center" wrapText="1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26" borderId="25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20" fillId="26" borderId="0" xfId="42" applyFont="1" applyFill="1" applyProtection="1">
      <alignment/>
      <protection/>
    </xf>
    <xf numFmtId="0" fontId="154" fillId="33" borderId="0" xfId="0" applyFont="1" applyFill="1" applyBorder="1" applyAlignment="1" applyProtection="1">
      <alignment/>
      <protection/>
    </xf>
    <xf numFmtId="0" fontId="20" fillId="33" borderId="0" xfId="42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1" fillId="26" borderId="26" xfId="0" applyNumberFormat="1" applyFont="1" applyFill="1" applyBorder="1" applyAlignment="1" applyProtection="1">
      <alignment horizontal="center"/>
      <protection/>
    </xf>
    <xf numFmtId="166" fontId="12" fillId="26" borderId="26" xfId="0" applyNumberFormat="1" applyFont="1" applyFill="1" applyBorder="1" applyAlignment="1" applyProtection="1">
      <alignment horizontal="center"/>
      <protection/>
    </xf>
    <xf numFmtId="166" fontId="31" fillId="41" borderId="26" xfId="0" applyNumberFormat="1" applyFont="1" applyFill="1" applyBorder="1" applyAlignment="1" applyProtection="1">
      <alignment horizontal="center"/>
      <protection locked="0"/>
    </xf>
    <xf numFmtId="0" fontId="2" fillId="26" borderId="27" xfId="0" applyFont="1" applyFill="1" applyBorder="1" applyAlignment="1" applyProtection="1">
      <alignment horizontal="right"/>
      <protection/>
    </xf>
    <xf numFmtId="0" fontId="11" fillId="26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72" fontId="157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3" applyNumberFormat="1" applyFont="1" applyFill="1" applyBorder="1" applyAlignment="1" applyProtection="1">
      <alignment/>
      <protection/>
    </xf>
    <xf numFmtId="38" fontId="20" fillId="33" borderId="0" xfId="43" applyNumberFormat="1" applyFont="1" applyFill="1" applyBorder="1" applyAlignment="1" applyProtection="1">
      <alignment/>
      <protection/>
    </xf>
    <xf numFmtId="38" fontId="20" fillId="42" borderId="0" xfId="43" applyNumberFormat="1" applyFont="1" applyFill="1" applyBorder="1" applyAlignment="1" applyProtection="1">
      <alignment/>
      <protection/>
    </xf>
    <xf numFmtId="38" fontId="9" fillId="42" borderId="0" xfId="43" applyNumberFormat="1" applyFont="1" applyFill="1" applyBorder="1" applyAlignment="1" applyProtection="1">
      <alignment/>
      <protection/>
    </xf>
    <xf numFmtId="38" fontId="15" fillId="38" borderId="29" xfId="43" applyNumberFormat="1" applyFont="1" applyFill="1" applyBorder="1" applyAlignment="1" applyProtection="1">
      <alignment/>
      <protection/>
    </xf>
    <xf numFmtId="38" fontId="20" fillId="33" borderId="29" xfId="43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20" fillId="42" borderId="29" xfId="43" applyNumberFormat="1" applyFont="1" applyFill="1" applyBorder="1" applyAlignment="1" applyProtection="1">
      <alignment/>
      <protection/>
    </xf>
    <xf numFmtId="38" fontId="9" fillId="42" borderId="29" xfId="43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72" fontId="4" fillId="33" borderId="30" xfId="0" applyNumberFormat="1" applyFont="1" applyFill="1" applyBorder="1" applyAlignment="1" applyProtection="1" quotePrefix="1">
      <alignment horizontal="center"/>
      <protection/>
    </xf>
    <xf numFmtId="172" fontId="4" fillId="33" borderId="31" xfId="0" applyNumberFormat="1" applyFont="1" applyFill="1" applyBorder="1" applyAlignment="1" applyProtection="1" quotePrefix="1">
      <alignment horizontal="center"/>
      <protection/>
    </xf>
    <xf numFmtId="172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43" applyNumberFormat="1" applyFont="1" applyFill="1" applyBorder="1" applyAlignment="1" applyProtection="1">
      <alignment/>
      <protection/>
    </xf>
    <xf numFmtId="38" fontId="15" fillId="33" borderId="29" xfId="43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66" fontId="5" fillId="39" borderId="37" xfId="0" applyNumberFormat="1" applyFont="1" applyFill="1" applyBorder="1" applyAlignment="1" applyProtection="1">
      <alignment horizontal="left"/>
      <protection/>
    </xf>
    <xf numFmtId="166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20" fillId="43" borderId="41" xfId="43" applyNumberFormat="1" applyFont="1" applyFill="1" applyBorder="1" applyAlignment="1" applyProtection="1">
      <alignment/>
      <protection/>
    </xf>
    <xf numFmtId="38" fontId="20" fillId="43" borderId="42" xfId="43" applyNumberFormat="1" applyFont="1" applyFill="1" applyBorder="1" applyAlignment="1" applyProtection="1">
      <alignment/>
      <protection/>
    </xf>
    <xf numFmtId="38" fontId="20" fillId="43" borderId="43" xfId="43" applyNumberFormat="1" applyFont="1" applyFill="1" applyBorder="1" applyAlignment="1" applyProtection="1">
      <alignment/>
      <protection/>
    </xf>
    <xf numFmtId="38" fontId="20" fillId="44" borderId="41" xfId="43" applyNumberFormat="1" applyFont="1" applyFill="1" applyBorder="1" applyAlignment="1" applyProtection="1">
      <alignment/>
      <protection/>
    </xf>
    <xf numFmtId="38" fontId="20" fillId="44" borderId="42" xfId="43" applyNumberFormat="1" applyFont="1" applyFill="1" applyBorder="1" applyAlignment="1" applyProtection="1">
      <alignment/>
      <protection/>
    </xf>
    <xf numFmtId="38" fontId="20" fillId="44" borderId="43" xfId="43" applyNumberFormat="1" applyFont="1" applyFill="1" applyBorder="1" applyAlignment="1" applyProtection="1">
      <alignment/>
      <protection/>
    </xf>
    <xf numFmtId="38" fontId="20" fillId="33" borderId="44" xfId="43" applyNumberFormat="1" applyFont="1" applyFill="1" applyBorder="1" applyAlignment="1" applyProtection="1">
      <alignment/>
      <protection/>
    </xf>
    <xf numFmtId="38" fontId="20" fillId="33" borderId="45" xfId="43" applyNumberFormat="1" applyFont="1" applyFill="1" applyBorder="1" applyAlignment="1" applyProtection="1">
      <alignment/>
      <protection/>
    </xf>
    <xf numFmtId="38" fontId="9" fillId="33" borderId="46" xfId="43" applyNumberFormat="1" applyFont="1" applyFill="1" applyBorder="1" applyAlignment="1" applyProtection="1">
      <alignment/>
      <protection/>
    </xf>
    <xf numFmtId="38" fontId="9" fillId="33" borderId="47" xfId="43" applyNumberFormat="1" applyFont="1" applyFill="1" applyBorder="1" applyAlignment="1" applyProtection="1">
      <alignment/>
      <protection/>
    </xf>
    <xf numFmtId="38" fontId="9" fillId="33" borderId="48" xfId="43" applyNumberFormat="1" applyFont="1" applyFill="1" applyBorder="1" applyAlignment="1" applyProtection="1">
      <alignment/>
      <protection/>
    </xf>
    <xf numFmtId="38" fontId="9" fillId="33" borderId="49" xfId="43" applyNumberFormat="1" applyFont="1" applyFill="1" applyBorder="1" applyAlignment="1" applyProtection="1">
      <alignment/>
      <protection/>
    </xf>
    <xf numFmtId="38" fontId="9" fillId="33" borderId="44" xfId="43" applyNumberFormat="1" applyFont="1" applyFill="1" applyBorder="1" applyAlignment="1" applyProtection="1">
      <alignment/>
      <protection/>
    </xf>
    <xf numFmtId="38" fontId="9" fillId="33" borderId="45" xfId="43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3" fillId="42" borderId="52" xfId="43" applyNumberFormat="1" applyFont="1" applyFill="1" applyBorder="1" applyAlignment="1" applyProtection="1">
      <alignment/>
      <protection/>
    </xf>
    <xf numFmtId="38" fontId="23" fillId="42" borderId="53" xfId="43" applyNumberFormat="1" applyFont="1" applyFill="1" applyBorder="1" applyAlignment="1" applyProtection="1">
      <alignment/>
      <protection/>
    </xf>
    <xf numFmtId="38" fontId="23" fillId="42" borderId="46" xfId="43" applyNumberFormat="1" applyFont="1" applyFill="1" applyBorder="1" applyAlignment="1" applyProtection="1">
      <alignment/>
      <protection/>
    </xf>
    <xf numFmtId="38" fontId="23" fillId="42" borderId="47" xfId="43" applyNumberFormat="1" applyFont="1" applyFill="1" applyBorder="1" applyAlignment="1" applyProtection="1">
      <alignment/>
      <protection/>
    </xf>
    <xf numFmtId="38" fontId="23" fillId="42" borderId="48" xfId="43" applyNumberFormat="1" applyFont="1" applyFill="1" applyBorder="1" applyAlignment="1" applyProtection="1">
      <alignment/>
      <protection/>
    </xf>
    <xf numFmtId="38" fontId="23" fillId="42" borderId="49" xfId="43" applyNumberFormat="1" applyFont="1" applyFill="1" applyBorder="1" applyAlignment="1" applyProtection="1">
      <alignment/>
      <protection/>
    </xf>
    <xf numFmtId="38" fontId="20" fillId="33" borderId="54" xfId="43" applyNumberFormat="1" applyFont="1" applyFill="1" applyBorder="1" applyAlignment="1" applyProtection="1">
      <alignment/>
      <protection/>
    </xf>
    <xf numFmtId="38" fontId="20" fillId="33" borderId="19" xfId="43" applyNumberFormat="1" applyFont="1" applyFill="1" applyBorder="1" applyAlignment="1" applyProtection="1">
      <alignment/>
      <protection/>
    </xf>
    <xf numFmtId="38" fontId="20" fillId="33" borderId="51" xfId="43" applyNumberFormat="1" applyFont="1" applyFill="1" applyBorder="1" applyAlignment="1" applyProtection="1">
      <alignment/>
      <protection/>
    </xf>
    <xf numFmtId="38" fontId="23" fillId="42" borderId="42" xfId="43" applyNumberFormat="1" applyFont="1" applyFill="1" applyBorder="1" applyAlignment="1" applyProtection="1">
      <alignment/>
      <protection/>
    </xf>
    <xf numFmtId="38" fontId="23" fillId="42" borderId="43" xfId="43" applyNumberFormat="1" applyFont="1" applyFill="1" applyBorder="1" applyAlignment="1" applyProtection="1">
      <alignment/>
      <protection/>
    </xf>
    <xf numFmtId="38" fontId="9" fillId="45" borderId="55" xfId="43" applyNumberFormat="1" applyFont="1" applyFill="1" applyBorder="1" applyAlignment="1" applyProtection="1">
      <alignment/>
      <protection/>
    </xf>
    <xf numFmtId="38" fontId="9" fillId="45" borderId="56" xfId="43" applyNumberFormat="1" applyFont="1" applyFill="1" applyBorder="1" applyAlignment="1" applyProtection="1">
      <alignment/>
      <protection/>
    </xf>
    <xf numFmtId="38" fontId="9" fillId="33" borderId="55" xfId="43" applyNumberFormat="1" applyFont="1" applyFill="1" applyBorder="1" applyAlignment="1" applyProtection="1">
      <alignment/>
      <protection/>
    </xf>
    <xf numFmtId="38" fontId="9" fillId="33" borderId="56" xfId="43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43" applyNumberFormat="1" applyFont="1" applyFill="1" applyBorder="1" applyAlignment="1" applyProtection="1">
      <alignment/>
      <protection/>
    </xf>
    <xf numFmtId="38" fontId="9" fillId="33" borderId="57" xfId="43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26" borderId="42" xfId="0" applyFont="1" applyFill="1" applyBorder="1" applyAlignment="1" applyProtection="1">
      <alignment horizontal="left"/>
      <protection/>
    </xf>
    <xf numFmtId="175" fontId="158" fillId="33" borderId="26" xfId="0" applyNumberFormat="1" applyFont="1" applyFill="1" applyBorder="1" applyAlignment="1" applyProtection="1">
      <alignment horizontal="center"/>
      <protection locked="0"/>
    </xf>
    <xf numFmtId="175" fontId="158" fillId="33" borderId="44" xfId="0" applyNumberFormat="1" applyFont="1" applyFill="1" applyBorder="1" applyAlignment="1" applyProtection="1">
      <alignment horizontal="center"/>
      <protection/>
    </xf>
    <xf numFmtId="0" fontId="3" fillId="26" borderId="42" xfId="0" applyFont="1" applyFill="1" applyBorder="1" applyAlignment="1" applyProtection="1">
      <alignment horizontal="right"/>
      <protection/>
    </xf>
    <xf numFmtId="38" fontId="9" fillId="33" borderId="58" xfId="43" applyNumberFormat="1" applyFont="1" applyFill="1" applyBorder="1" applyAlignment="1" applyProtection="1">
      <alignment/>
      <protection/>
    </xf>
    <xf numFmtId="38" fontId="9" fillId="33" borderId="59" xfId="43" applyNumberFormat="1" applyFont="1" applyFill="1" applyBorder="1" applyAlignment="1" applyProtection="1">
      <alignment/>
      <protection/>
    </xf>
    <xf numFmtId="38" fontId="15" fillId="33" borderId="60" xfId="43" applyNumberFormat="1" applyFont="1" applyFill="1" applyBorder="1" applyAlignment="1" applyProtection="1">
      <alignment/>
      <protection/>
    </xf>
    <xf numFmtId="38" fontId="20" fillId="33" borderId="61" xfId="43" applyNumberFormat="1" applyFont="1" applyFill="1" applyBorder="1" applyAlignment="1" applyProtection="1">
      <alignment/>
      <protection/>
    </xf>
    <xf numFmtId="38" fontId="20" fillId="33" borderId="60" xfId="43" applyNumberFormat="1" applyFont="1" applyFill="1" applyBorder="1" applyAlignment="1" applyProtection="1">
      <alignment/>
      <protection/>
    </xf>
    <xf numFmtId="38" fontId="9" fillId="33" borderId="61" xfId="43" applyNumberFormat="1" applyFont="1" applyFill="1" applyBorder="1" applyAlignment="1" applyProtection="1">
      <alignment/>
      <protection/>
    </xf>
    <xf numFmtId="38" fontId="20" fillId="42" borderId="54" xfId="43" applyNumberFormat="1" applyFont="1" applyFill="1" applyBorder="1" applyAlignment="1" applyProtection="1">
      <alignment/>
      <protection/>
    </xf>
    <xf numFmtId="38" fontId="9" fillId="42" borderId="61" xfId="43" applyNumberFormat="1" applyFont="1" applyFill="1" applyBorder="1" applyAlignment="1" applyProtection="1">
      <alignment/>
      <protection/>
    </xf>
    <xf numFmtId="38" fontId="9" fillId="42" borderId="58" xfId="43" applyNumberFormat="1" applyFont="1" applyFill="1" applyBorder="1" applyAlignment="1" applyProtection="1">
      <alignment/>
      <protection/>
    </xf>
    <xf numFmtId="38" fontId="9" fillId="42" borderId="62" xfId="43" applyNumberFormat="1" applyFont="1" applyFill="1" applyBorder="1" applyAlignment="1" applyProtection="1">
      <alignment/>
      <protection/>
    </xf>
    <xf numFmtId="38" fontId="23" fillId="42" borderId="50" xfId="43" applyNumberFormat="1" applyFont="1" applyFill="1" applyBorder="1" applyAlignment="1" applyProtection="1">
      <alignment/>
      <protection/>
    </xf>
    <xf numFmtId="38" fontId="23" fillId="42" borderId="58" xfId="43" applyNumberFormat="1" applyFont="1" applyFill="1" applyBorder="1" applyAlignment="1" applyProtection="1">
      <alignment/>
      <protection/>
    </xf>
    <xf numFmtId="38" fontId="23" fillId="42" borderId="59" xfId="43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3" fillId="42" borderId="41" xfId="43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43" applyNumberFormat="1" applyFont="1" applyFill="1" applyBorder="1" applyAlignment="1" applyProtection="1">
      <alignment/>
      <protection/>
    </xf>
    <xf numFmtId="38" fontId="159" fillId="45" borderId="62" xfId="43" applyNumberFormat="1" applyFont="1" applyFill="1" applyBorder="1" applyAlignment="1" applyProtection="1">
      <alignment/>
      <protection/>
    </xf>
    <xf numFmtId="38" fontId="9" fillId="33" borderId="62" xfId="43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66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26" borderId="0" xfId="37" applyFont="1" applyFill="1" applyBorder="1" applyProtection="1">
      <alignment/>
      <protection/>
    </xf>
    <xf numFmtId="165" fontId="4" fillId="26" borderId="0" xfId="37" applyNumberFormat="1" applyFont="1" applyFill="1" applyBorder="1" applyAlignment="1" applyProtection="1">
      <alignment horizontal="left"/>
      <protection/>
    </xf>
    <xf numFmtId="0" fontId="3" fillId="26" borderId="0" xfId="37" applyFont="1" applyFill="1" applyBorder="1" applyAlignment="1" applyProtection="1">
      <alignment horizontal="center"/>
      <protection/>
    </xf>
    <xf numFmtId="0" fontId="2" fillId="34" borderId="0" xfId="37" applyFont="1" applyFill="1" applyAlignment="1" applyProtection="1">
      <alignment horizontal="center"/>
      <protection/>
    </xf>
    <xf numFmtId="0" fontId="2" fillId="34" borderId="0" xfId="37" applyFont="1" applyFill="1" applyBorder="1" applyAlignment="1" applyProtection="1">
      <alignment horizontal="center"/>
      <protection/>
    </xf>
    <xf numFmtId="0" fontId="2" fillId="34" borderId="0" xfId="37" applyFont="1" applyFill="1" applyProtection="1">
      <alignment/>
      <protection/>
    </xf>
    <xf numFmtId="0" fontId="0" fillId="0" borderId="0" xfId="37" applyProtection="1">
      <alignment/>
      <protection/>
    </xf>
    <xf numFmtId="176" fontId="3" fillId="33" borderId="69" xfId="0" applyNumberFormat="1" applyFont="1" applyFill="1" applyBorder="1" applyAlignment="1" applyProtection="1">
      <alignment/>
      <protection/>
    </xf>
    <xf numFmtId="176" fontId="6" fillId="26" borderId="0" xfId="0" applyNumberFormat="1" applyFont="1" applyFill="1" applyAlignment="1" applyProtection="1">
      <alignment horizontal="right"/>
      <protection/>
    </xf>
    <xf numFmtId="176" fontId="3" fillId="33" borderId="70" xfId="0" applyNumberFormat="1" applyFont="1" applyFill="1" applyBorder="1" applyAlignment="1" applyProtection="1">
      <alignment/>
      <protection/>
    </xf>
    <xf numFmtId="176" fontId="3" fillId="33" borderId="71" xfId="0" applyNumberFormat="1" applyFont="1" applyFill="1" applyBorder="1" applyAlignment="1" applyProtection="1">
      <alignment/>
      <protection locked="0"/>
    </xf>
    <xf numFmtId="176" fontId="4" fillId="33" borderId="71" xfId="0" applyNumberFormat="1" applyFont="1" applyFill="1" applyBorder="1" applyAlignment="1" applyProtection="1">
      <alignment/>
      <protection locked="0"/>
    </xf>
    <xf numFmtId="176" fontId="3" fillId="33" borderId="72" xfId="0" applyNumberFormat="1" applyFont="1" applyFill="1" applyBorder="1" applyAlignment="1" applyProtection="1">
      <alignment/>
      <protection locked="0"/>
    </xf>
    <xf numFmtId="176" fontId="4" fillId="33" borderId="72" xfId="0" applyNumberFormat="1" applyFont="1" applyFill="1" applyBorder="1" applyAlignment="1" applyProtection="1">
      <alignment/>
      <protection locked="0"/>
    </xf>
    <xf numFmtId="176" fontId="3" fillId="33" borderId="73" xfId="0" applyNumberFormat="1" applyFont="1" applyFill="1" applyBorder="1" applyAlignment="1" applyProtection="1">
      <alignment/>
      <protection locked="0"/>
    </xf>
    <xf numFmtId="176" fontId="4" fillId="33" borderId="73" xfId="0" applyNumberFormat="1" applyFont="1" applyFill="1" applyBorder="1" applyAlignment="1" applyProtection="1">
      <alignment/>
      <protection locked="0"/>
    </xf>
    <xf numFmtId="176" fontId="3" fillId="26" borderId="10" xfId="0" applyNumberFormat="1" applyFont="1" applyFill="1" applyBorder="1" applyAlignment="1" applyProtection="1">
      <alignment/>
      <protection/>
    </xf>
    <xf numFmtId="176" fontId="4" fillId="26" borderId="10" xfId="0" applyNumberFormat="1" applyFont="1" applyFill="1" applyBorder="1" applyAlignment="1" applyProtection="1">
      <alignment/>
      <protection/>
    </xf>
    <xf numFmtId="176" fontId="4" fillId="33" borderId="69" xfId="0" applyNumberFormat="1" applyFont="1" applyFill="1" applyBorder="1" applyAlignment="1" applyProtection="1">
      <alignment/>
      <protection/>
    </xf>
    <xf numFmtId="176" fontId="4" fillId="33" borderId="70" xfId="0" applyNumberFormat="1" applyFont="1" applyFill="1" applyBorder="1" applyAlignment="1" applyProtection="1">
      <alignment/>
      <protection/>
    </xf>
    <xf numFmtId="176" fontId="3" fillId="42" borderId="69" xfId="0" applyNumberFormat="1" applyFont="1" applyFill="1" applyBorder="1" applyAlignment="1" applyProtection="1">
      <alignment/>
      <protection/>
    </xf>
    <xf numFmtId="176" fontId="4" fillId="42" borderId="69" xfId="0" applyNumberFormat="1" applyFont="1" applyFill="1" applyBorder="1" applyAlignment="1" applyProtection="1">
      <alignment/>
      <protection/>
    </xf>
    <xf numFmtId="176" fontId="3" fillId="42" borderId="71" xfId="0" applyNumberFormat="1" applyFont="1" applyFill="1" applyBorder="1" applyAlignment="1" applyProtection="1">
      <alignment/>
      <protection/>
    </xf>
    <xf numFmtId="176" fontId="4" fillId="42" borderId="71" xfId="0" applyNumberFormat="1" applyFont="1" applyFill="1" applyBorder="1" applyAlignment="1" applyProtection="1">
      <alignment/>
      <protection/>
    </xf>
    <xf numFmtId="176" fontId="3" fillId="42" borderId="72" xfId="0" applyNumberFormat="1" applyFont="1" applyFill="1" applyBorder="1" applyAlignment="1" applyProtection="1">
      <alignment/>
      <protection/>
    </xf>
    <xf numFmtId="176" fontId="4" fillId="42" borderId="72" xfId="0" applyNumberFormat="1" applyFont="1" applyFill="1" applyBorder="1" applyAlignment="1" applyProtection="1">
      <alignment/>
      <protection/>
    </xf>
    <xf numFmtId="176" fontId="3" fillId="42" borderId="73" xfId="0" applyNumberFormat="1" applyFont="1" applyFill="1" applyBorder="1" applyAlignment="1" applyProtection="1">
      <alignment/>
      <protection/>
    </xf>
    <xf numFmtId="176" fontId="4" fillId="42" borderId="73" xfId="0" applyNumberFormat="1" applyFont="1" applyFill="1" applyBorder="1" applyAlignment="1" applyProtection="1">
      <alignment/>
      <protection/>
    </xf>
    <xf numFmtId="176" fontId="3" fillId="26" borderId="10" xfId="0" applyNumberFormat="1" applyFont="1" applyFill="1" applyBorder="1" applyAlignment="1" applyProtection="1">
      <alignment/>
      <protection locked="0"/>
    </xf>
    <xf numFmtId="176" fontId="4" fillId="26" borderId="10" xfId="0" applyNumberFormat="1" applyFont="1" applyFill="1" applyBorder="1" applyAlignment="1" applyProtection="1">
      <alignment/>
      <protection locked="0"/>
    </xf>
    <xf numFmtId="176" fontId="31" fillId="42" borderId="74" xfId="0" applyNumberFormat="1" applyFont="1" applyFill="1" applyBorder="1" applyAlignment="1" applyProtection="1">
      <alignment/>
      <protection locked="0"/>
    </xf>
    <xf numFmtId="176" fontId="12" fillId="42" borderId="74" xfId="0" applyNumberFormat="1" applyFont="1" applyFill="1" applyBorder="1" applyAlignment="1" applyProtection="1">
      <alignment/>
      <protection locked="0"/>
    </xf>
    <xf numFmtId="176" fontId="31" fillId="42" borderId="72" xfId="0" applyNumberFormat="1" applyFont="1" applyFill="1" applyBorder="1" applyAlignment="1" applyProtection="1">
      <alignment/>
      <protection locked="0"/>
    </xf>
    <xf numFmtId="176" fontId="12" fillId="42" borderId="72" xfId="0" applyNumberFormat="1" applyFont="1" applyFill="1" applyBorder="1" applyAlignment="1" applyProtection="1">
      <alignment/>
      <protection locked="0"/>
    </xf>
    <xf numFmtId="176" fontId="31" fillId="42" borderId="75" xfId="0" applyNumberFormat="1" applyFont="1" applyFill="1" applyBorder="1" applyAlignment="1" applyProtection="1">
      <alignment/>
      <protection locked="0"/>
    </xf>
    <xf numFmtId="176" fontId="12" fillId="42" borderId="75" xfId="0" applyNumberFormat="1" applyFont="1" applyFill="1" applyBorder="1" applyAlignment="1" applyProtection="1">
      <alignment/>
      <protection locked="0"/>
    </xf>
    <xf numFmtId="176" fontId="3" fillId="33" borderId="71" xfId="0" applyNumberFormat="1" applyFont="1" applyFill="1" applyBorder="1" applyAlignment="1" applyProtection="1">
      <alignment/>
      <protection/>
    </xf>
    <xf numFmtId="176" fontId="4" fillId="33" borderId="71" xfId="0" applyNumberFormat="1" applyFont="1" applyFill="1" applyBorder="1" applyAlignment="1" applyProtection="1">
      <alignment/>
      <protection/>
    </xf>
    <xf numFmtId="176" fontId="3" fillId="39" borderId="76" xfId="0" applyNumberFormat="1" applyFont="1" applyFill="1" applyBorder="1" applyAlignment="1" applyProtection="1">
      <alignment/>
      <protection/>
    </xf>
    <xf numFmtId="176" fontId="4" fillId="39" borderId="76" xfId="0" applyNumberFormat="1" applyFont="1" applyFill="1" applyBorder="1" applyAlignment="1" applyProtection="1">
      <alignment/>
      <protection/>
    </xf>
    <xf numFmtId="176" fontId="3" fillId="33" borderId="70" xfId="0" applyNumberFormat="1" applyFont="1" applyFill="1" applyBorder="1" applyAlignment="1" applyProtection="1">
      <alignment/>
      <protection locked="0"/>
    </xf>
    <xf numFmtId="176" fontId="4" fillId="33" borderId="70" xfId="0" applyNumberFormat="1" applyFont="1" applyFill="1" applyBorder="1" applyAlignment="1" applyProtection="1">
      <alignment/>
      <protection locked="0"/>
    </xf>
    <xf numFmtId="176" fontId="3" fillId="44" borderId="10" xfId="0" applyNumberFormat="1" applyFont="1" applyFill="1" applyBorder="1" applyAlignment="1" applyProtection="1">
      <alignment/>
      <protection/>
    </xf>
    <xf numFmtId="176" fontId="4" fillId="44" borderId="10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1" fillId="42" borderId="77" xfId="0" applyNumberFormat="1" applyFont="1" applyFill="1" applyBorder="1" applyAlignment="1" applyProtection="1">
      <alignment/>
      <protection locked="0"/>
    </xf>
    <xf numFmtId="176" fontId="12" fillId="42" borderId="77" xfId="0" applyNumberFormat="1" applyFont="1" applyFill="1" applyBorder="1" applyAlignment="1" applyProtection="1">
      <alignment/>
      <protection locked="0"/>
    </xf>
    <xf numFmtId="176" fontId="3" fillId="33" borderId="73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46" borderId="76" xfId="0" applyNumberFormat="1" applyFont="1" applyFill="1" applyBorder="1" applyAlignment="1" applyProtection="1">
      <alignment/>
      <protection/>
    </xf>
    <xf numFmtId="176" fontId="3" fillId="5" borderId="76" xfId="0" applyNumberFormat="1" applyFont="1" applyFill="1" applyBorder="1" applyAlignment="1" applyProtection="1">
      <alignment/>
      <protection/>
    </xf>
    <xf numFmtId="176" fontId="4" fillId="5" borderId="76" xfId="0" applyNumberFormat="1" applyFont="1" applyFill="1" applyBorder="1" applyAlignment="1" applyProtection="1">
      <alignment/>
      <protection/>
    </xf>
    <xf numFmtId="176" fontId="3" fillId="46" borderId="76" xfId="0" applyNumberFormat="1" applyFont="1" applyFill="1" applyBorder="1" applyAlignment="1" applyProtection="1">
      <alignment/>
      <protection/>
    </xf>
    <xf numFmtId="176" fontId="3" fillId="45" borderId="73" xfId="0" applyNumberFormat="1" applyFont="1" applyFill="1" applyBorder="1" applyAlignment="1" applyProtection="1">
      <alignment/>
      <protection/>
    </xf>
    <xf numFmtId="176" fontId="4" fillId="45" borderId="73" xfId="0" applyNumberFormat="1" applyFont="1" applyFill="1" applyBorder="1" applyAlignment="1" applyProtection="1">
      <alignment/>
      <protection/>
    </xf>
    <xf numFmtId="176" fontId="3" fillId="33" borderId="78" xfId="0" applyNumberFormat="1" applyFont="1" applyFill="1" applyBorder="1" applyAlignment="1" applyProtection="1">
      <alignment/>
      <protection/>
    </xf>
    <xf numFmtId="176" fontId="4" fillId="33" borderId="78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2" xfId="0" applyNumberFormat="1" applyFont="1" applyFill="1" applyBorder="1" applyAlignment="1" applyProtection="1">
      <alignment/>
      <protection/>
    </xf>
    <xf numFmtId="176" fontId="4" fillId="33" borderId="72" xfId="0" applyNumberFormat="1" applyFont="1" applyFill="1" applyBorder="1" applyAlignment="1" applyProtection="1">
      <alignment/>
      <protection/>
    </xf>
    <xf numFmtId="176" fontId="31" fillId="42" borderId="74" xfId="0" applyNumberFormat="1" applyFont="1" applyFill="1" applyBorder="1" applyAlignment="1" applyProtection="1">
      <alignment/>
      <protection/>
    </xf>
    <xf numFmtId="176" fontId="12" fillId="42" borderId="74" xfId="0" applyNumberFormat="1" applyFont="1" applyFill="1" applyBorder="1" applyAlignment="1" applyProtection="1">
      <alignment/>
      <protection/>
    </xf>
    <xf numFmtId="176" fontId="31" fillId="42" borderId="72" xfId="0" applyNumberFormat="1" applyFont="1" applyFill="1" applyBorder="1" applyAlignment="1" applyProtection="1">
      <alignment/>
      <protection/>
    </xf>
    <xf numFmtId="176" fontId="12" fillId="42" borderId="72" xfId="0" applyNumberFormat="1" applyFont="1" applyFill="1" applyBorder="1" applyAlignment="1" applyProtection="1">
      <alignment/>
      <protection/>
    </xf>
    <xf numFmtId="176" fontId="31" fillId="42" borderId="75" xfId="0" applyNumberFormat="1" applyFont="1" applyFill="1" applyBorder="1" applyAlignment="1" applyProtection="1">
      <alignment/>
      <protection/>
    </xf>
    <xf numFmtId="176" fontId="12" fillId="42" borderId="75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1" fillId="42" borderId="77" xfId="0" applyNumberFormat="1" applyFont="1" applyFill="1" applyBorder="1" applyAlignment="1" applyProtection="1">
      <alignment/>
      <protection/>
    </xf>
    <xf numFmtId="176" fontId="12" fillId="42" borderId="77" xfId="0" applyNumberFormat="1" applyFont="1" applyFill="1" applyBorder="1" applyAlignment="1" applyProtection="1">
      <alignment/>
      <protection/>
    </xf>
    <xf numFmtId="0" fontId="160" fillId="47" borderId="0" xfId="0" applyFont="1" applyFill="1" applyAlignment="1" applyProtection="1" quotePrefix="1">
      <alignment horizontal="center"/>
      <protection/>
    </xf>
    <xf numFmtId="176" fontId="3" fillId="39" borderId="79" xfId="0" applyNumberFormat="1" applyFont="1" applyFill="1" applyBorder="1" applyAlignment="1" applyProtection="1">
      <alignment/>
      <protection/>
    </xf>
    <xf numFmtId="176" fontId="4" fillId="39" borderId="79" xfId="0" applyNumberFormat="1" applyFont="1" applyFill="1" applyBorder="1" applyAlignment="1" applyProtection="1">
      <alignment/>
      <protection/>
    </xf>
    <xf numFmtId="176" fontId="3" fillId="39" borderId="78" xfId="0" applyNumberFormat="1" applyFont="1" applyFill="1" applyBorder="1" applyAlignment="1" applyProtection="1">
      <alignment/>
      <protection/>
    </xf>
    <xf numFmtId="176" fontId="4" fillId="39" borderId="78" xfId="0" applyNumberFormat="1" applyFont="1" applyFill="1" applyBorder="1" applyAlignment="1" applyProtection="1">
      <alignment/>
      <protection/>
    </xf>
    <xf numFmtId="0" fontId="2" fillId="33" borderId="0" xfId="37" applyFont="1" applyFill="1" applyBorder="1" applyProtection="1">
      <alignment/>
      <protection/>
    </xf>
    <xf numFmtId="38" fontId="15" fillId="33" borderId="0" xfId="43" applyNumberFormat="1" applyFont="1" applyFill="1" applyBorder="1" applyAlignment="1" applyProtection="1">
      <alignment horizontal="left"/>
      <protection/>
    </xf>
    <xf numFmtId="38" fontId="20" fillId="33" borderId="0" xfId="43" applyNumberFormat="1" applyFont="1" applyFill="1" applyBorder="1" applyAlignment="1" applyProtection="1">
      <alignment horizontal="left"/>
      <protection/>
    </xf>
    <xf numFmtId="0" fontId="10" fillId="33" borderId="41" xfId="37" applyFont="1" applyFill="1" applyBorder="1" applyAlignment="1" applyProtection="1" quotePrefix="1">
      <alignment horizontal="left"/>
      <protection/>
    </xf>
    <xf numFmtId="0" fontId="10" fillId="33" borderId="42" xfId="37" applyFont="1" applyFill="1" applyBorder="1" applyAlignment="1" applyProtection="1" quotePrefix="1">
      <alignment horizontal="left"/>
      <protection/>
    </xf>
    <xf numFmtId="0" fontId="10" fillId="33" borderId="43" xfId="37" applyFont="1" applyFill="1" applyBorder="1" applyAlignment="1" applyProtection="1" quotePrefix="1">
      <alignment horizontal="left"/>
      <protection/>
    </xf>
    <xf numFmtId="0" fontId="3" fillId="33" borderId="50" xfId="37" applyFont="1" applyFill="1" applyBorder="1" applyAlignment="1" applyProtection="1">
      <alignment horizontal="center"/>
      <protection/>
    </xf>
    <xf numFmtId="0" fontId="3" fillId="33" borderId="52" xfId="37" applyFont="1" applyFill="1" applyBorder="1" applyAlignment="1" applyProtection="1">
      <alignment horizontal="center"/>
      <protection/>
    </xf>
    <xf numFmtId="0" fontId="3" fillId="33" borderId="53" xfId="37" applyFont="1" applyFill="1" applyBorder="1" applyAlignment="1" applyProtection="1">
      <alignment horizontal="center"/>
      <protection/>
    </xf>
    <xf numFmtId="38" fontId="20" fillId="42" borderId="54" xfId="43" applyNumberFormat="1" applyFont="1" applyFill="1" applyBorder="1" applyAlignment="1" applyProtection="1">
      <alignment horizontal="center"/>
      <protection/>
    </xf>
    <xf numFmtId="38" fontId="20" fillId="42" borderId="19" xfId="43" applyNumberFormat="1" applyFont="1" applyFill="1" applyBorder="1" applyAlignment="1" applyProtection="1">
      <alignment horizontal="center"/>
      <protection/>
    </xf>
    <xf numFmtId="38" fontId="20" fillId="42" borderId="51" xfId="43" applyNumberFormat="1" applyFont="1" applyFill="1" applyBorder="1" applyAlignment="1" applyProtection="1">
      <alignment horizontal="center"/>
      <protection/>
    </xf>
    <xf numFmtId="38" fontId="9" fillId="42" borderId="61" xfId="43" applyNumberFormat="1" applyFont="1" applyFill="1" applyBorder="1" applyAlignment="1" applyProtection="1">
      <alignment horizontal="center"/>
      <protection/>
    </xf>
    <xf numFmtId="38" fontId="9" fillId="42" borderId="44" xfId="43" applyNumberFormat="1" applyFont="1" applyFill="1" applyBorder="1" applyAlignment="1" applyProtection="1">
      <alignment horizontal="center"/>
      <protection/>
    </xf>
    <xf numFmtId="38" fontId="9" fillId="42" borderId="45" xfId="43" applyNumberFormat="1" applyFont="1" applyFill="1" applyBorder="1" applyAlignment="1" applyProtection="1">
      <alignment horizontal="center"/>
      <protection/>
    </xf>
    <xf numFmtId="38" fontId="9" fillId="42" borderId="58" xfId="43" applyNumberFormat="1" applyFont="1" applyFill="1" applyBorder="1" applyAlignment="1" applyProtection="1">
      <alignment horizontal="center"/>
      <protection/>
    </xf>
    <xf numFmtId="38" fontId="9" fillId="42" borderId="46" xfId="43" applyNumberFormat="1" applyFont="1" applyFill="1" applyBorder="1" applyAlignment="1" applyProtection="1">
      <alignment horizontal="center"/>
      <protection/>
    </xf>
    <xf numFmtId="38" fontId="9" fillId="42" borderId="47" xfId="43" applyNumberFormat="1" applyFont="1" applyFill="1" applyBorder="1" applyAlignment="1" applyProtection="1">
      <alignment horizontal="center"/>
      <protection/>
    </xf>
    <xf numFmtId="38" fontId="9" fillId="42" borderId="62" xfId="43" applyNumberFormat="1" applyFont="1" applyFill="1" applyBorder="1" applyAlignment="1" applyProtection="1">
      <alignment horizontal="center"/>
      <protection/>
    </xf>
    <xf numFmtId="38" fontId="9" fillId="42" borderId="55" xfId="43" applyNumberFormat="1" applyFont="1" applyFill="1" applyBorder="1" applyAlignment="1" applyProtection="1">
      <alignment horizontal="center"/>
      <protection/>
    </xf>
    <xf numFmtId="38" fontId="9" fillId="42" borderId="56" xfId="43" applyNumberFormat="1" applyFont="1" applyFill="1" applyBorder="1" applyAlignment="1" applyProtection="1">
      <alignment horizontal="center"/>
      <protection/>
    </xf>
    <xf numFmtId="0" fontId="3" fillId="33" borderId="41" xfId="37" applyFont="1" applyFill="1" applyBorder="1" applyAlignment="1" applyProtection="1">
      <alignment horizontal="center"/>
      <protection/>
    </xf>
    <xf numFmtId="0" fontId="3" fillId="33" borderId="42" xfId="37" applyFont="1" applyFill="1" applyBorder="1" applyAlignment="1" applyProtection="1">
      <alignment horizontal="center"/>
      <protection/>
    </xf>
    <xf numFmtId="0" fontId="3" fillId="33" borderId="43" xfId="37" applyFont="1" applyFill="1" applyBorder="1" applyAlignment="1" applyProtection="1">
      <alignment horizontal="center"/>
      <protection/>
    </xf>
    <xf numFmtId="0" fontId="3" fillId="33" borderId="54" xfId="37" applyFont="1" applyFill="1" applyBorder="1" applyAlignment="1" applyProtection="1">
      <alignment horizontal="center"/>
      <protection/>
    </xf>
    <xf numFmtId="0" fontId="3" fillId="33" borderId="19" xfId="37" applyFont="1" applyFill="1" applyBorder="1" applyAlignment="1" applyProtection="1">
      <alignment horizontal="center"/>
      <protection/>
    </xf>
    <xf numFmtId="0" fontId="3" fillId="33" borderId="51" xfId="37" applyFont="1" applyFill="1" applyBorder="1" applyAlignment="1" applyProtection="1">
      <alignment horizontal="center"/>
      <protection/>
    </xf>
    <xf numFmtId="38" fontId="23" fillId="42" borderId="41" xfId="43" applyNumberFormat="1" applyFont="1" applyFill="1" applyBorder="1" applyAlignment="1" applyProtection="1">
      <alignment horizontal="center"/>
      <protection/>
    </xf>
    <xf numFmtId="38" fontId="23" fillId="42" borderId="42" xfId="43" applyNumberFormat="1" applyFont="1" applyFill="1" applyBorder="1" applyAlignment="1" applyProtection="1">
      <alignment horizontal="center"/>
      <protection/>
    </xf>
    <xf numFmtId="38" fontId="23" fillId="42" borderId="43" xfId="43" applyNumberFormat="1" applyFont="1" applyFill="1" applyBorder="1" applyAlignment="1" applyProtection="1">
      <alignment horizontal="center"/>
      <protection/>
    </xf>
    <xf numFmtId="38" fontId="20" fillId="33" borderId="54" xfId="43" applyNumberFormat="1" applyFont="1" applyFill="1" applyBorder="1" applyAlignment="1" applyProtection="1">
      <alignment horizontal="center"/>
      <protection/>
    </xf>
    <xf numFmtId="38" fontId="20" fillId="33" borderId="19" xfId="43" applyNumberFormat="1" applyFont="1" applyFill="1" applyBorder="1" applyAlignment="1" applyProtection="1">
      <alignment horizontal="center"/>
      <protection/>
    </xf>
    <xf numFmtId="38" fontId="20" fillId="33" borderId="51" xfId="43" applyNumberFormat="1" applyFont="1" applyFill="1" applyBorder="1" applyAlignment="1" applyProtection="1">
      <alignment horizontal="center"/>
      <protection/>
    </xf>
    <xf numFmtId="3" fontId="11" fillId="33" borderId="62" xfId="37" applyNumberFormat="1" applyFont="1" applyFill="1" applyBorder="1" applyAlignment="1" applyProtection="1">
      <alignment horizontal="center"/>
      <protection/>
    </xf>
    <xf numFmtId="3" fontId="11" fillId="33" borderId="55" xfId="37" applyNumberFormat="1" applyFont="1" applyFill="1" applyBorder="1" applyAlignment="1" applyProtection="1">
      <alignment horizontal="center"/>
      <protection/>
    </xf>
    <xf numFmtId="3" fontId="11" fillId="33" borderId="56" xfId="37" applyNumberFormat="1" applyFont="1" applyFill="1" applyBorder="1" applyAlignment="1" applyProtection="1">
      <alignment horizontal="center"/>
      <protection/>
    </xf>
    <xf numFmtId="0" fontId="5" fillId="39" borderId="66" xfId="37" applyFont="1" applyFill="1" applyBorder="1" applyAlignment="1" applyProtection="1">
      <alignment horizontal="left"/>
      <protection/>
    </xf>
    <xf numFmtId="0" fontId="5" fillId="39" borderId="35" xfId="37" applyFont="1" applyFill="1" applyBorder="1" applyAlignment="1" applyProtection="1">
      <alignment horizontal="left"/>
      <protection/>
    </xf>
    <xf numFmtId="0" fontId="5" fillId="39" borderId="36" xfId="37" applyFont="1" applyFill="1" applyBorder="1" applyAlignment="1" applyProtection="1">
      <alignment horizontal="left"/>
      <protection/>
    </xf>
    <xf numFmtId="166" fontId="5" fillId="39" borderId="65" xfId="37" applyNumberFormat="1" applyFont="1" applyFill="1" applyBorder="1" applyAlignment="1" applyProtection="1">
      <alignment horizontal="left"/>
      <protection/>
    </xf>
    <xf numFmtId="166" fontId="5" fillId="39" borderId="37" xfId="37" applyNumberFormat="1" applyFont="1" applyFill="1" applyBorder="1" applyAlignment="1" applyProtection="1">
      <alignment horizontal="left"/>
      <protection/>
    </xf>
    <xf numFmtId="166" fontId="5" fillId="39" borderId="38" xfId="37" applyNumberFormat="1" applyFont="1" applyFill="1" applyBorder="1" applyAlignment="1" applyProtection="1">
      <alignment horizontal="left"/>
      <protection/>
    </xf>
    <xf numFmtId="38" fontId="15" fillId="33" borderId="60" xfId="43" applyNumberFormat="1" applyFont="1" applyFill="1" applyBorder="1" applyAlignment="1" applyProtection="1">
      <alignment horizontal="left"/>
      <protection/>
    </xf>
    <xf numFmtId="38" fontId="15" fillId="33" borderId="29" xfId="43" applyNumberFormat="1" applyFont="1" applyFill="1" applyBorder="1" applyAlignment="1" applyProtection="1">
      <alignment horizontal="left"/>
      <protection/>
    </xf>
    <xf numFmtId="38" fontId="20" fillId="33" borderId="61" xfId="43" applyNumberFormat="1" applyFont="1" applyFill="1" applyBorder="1" applyAlignment="1" applyProtection="1">
      <alignment horizontal="left"/>
      <protection/>
    </xf>
    <xf numFmtId="38" fontId="20" fillId="33" borderId="44" xfId="43" applyNumberFormat="1" applyFont="1" applyFill="1" applyBorder="1" applyAlignment="1" applyProtection="1">
      <alignment horizontal="left"/>
      <protection/>
    </xf>
    <xf numFmtId="38" fontId="20" fillId="33" borderId="45" xfId="43" applyNumberFormat="1" applyFont="1" applyFill="1" applyBorder="1" applyAlignment="1" applyProtection="1">
      <alignment horizontal="left"/>
      <protection/>
    </xf>
    <xf numFmtId="38" fontId="20" fillId="33" borderId="60" xfId="43" applyNumberFormat="1" applyFont="1" applyFill="1" applyBorder="1" applyAlignment="1" applyProtection="1">
      <alignment horizontal="left"/>
      <protection/>
    </xf>
    <xf numFmtId="38" fontId="20" fillId="33" borderId="29" xfId="43" applyNumberFormat="1" applyFont="1" applyFill="1" applyBorder="1" applyAlignment="1" applyProtection="1">
      <alignment horizontal="left"/>
      <protection/>
    </xf>
    <xf numFmtId="0" fontId="161" fillId="26" borderId="0" xfId="37" applyFont="1" applyFill="1" applyBorder="1" applyAlignment="1" applyProtection="1">
      <alignment horizontal="left"/>
      <protection/>
    </xf>
    <xf numFmtId="0" fontId="2" fillId="33" borderId="0" xfId="37" applyFont="1" applyFill="1" applyAlignment="1" applyProtection="1">
      <alignment horizontal="center"/>
      <protection/>
    </xf>
    <xf numFmtId="1" fontId="53" fillId="26" borderId="0" xfId="0" applyNumberFormat="1" applyFont="1" applyFill="1" applyBorder="1" applyAlignment="1" applyProtection="1">
      <alignment horizontal="right"/>
      <protection/>
    </xf>
    <xf numFmtId="166" fontId="12" fillId="41" borderId="26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72" fontId="162" fillId="48" borderId="22" xfId="0" applyNumberFormat="1" applyFont="1" applyFill="1" applyBorder="1" applyAlignment="1" applyProtection="1" quotePrefix="1">
      <alignment horizontal="center" wrapText="1"/>
      <protection/>
    </xf>
    <xf numFmtId="165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72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76" fontId="3" fillId="33" borderId="83" xfId="0" applyNumberFormat="1" applyFont="1" applyFill="1" applyBorder="1" applyAlignment="1" applyProtection="1">
      <alignment/>
      <protection/>
    </xf>
    <xf numFmtId="176" fontId="3" fillId="33" borderId="84" xfId="0" applyNumberFormat="1" applyFont="1" applyFill="1" applyBorder="1" applyAlignment="1" applyProtection="1">
      <alignment/>
      <protection/>
    </xf>
    <xf numFmtId="176" fontId="3" fillId="33" borderId="85" xfId="0" applyNumberFormat="1" applyFont="1" applyFill="1" applyBorder="1" applyAlignment="1" applyProtection="1">
      <alignment/>
      <protection/>
    </xf>
    <xf numFmtId="176" fontId="3" fillId="33" borderId="86" xfId="0" applyNumberFormat="1" applyFont="1" applyFill="1" applyBorder="1" applyAlignment="1" applyProtection="1">
      <alignment/>
      <protection/>
    </xf>
    <xf numFmtId="176" fontId="4" fillId="33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26" borderId="81" xfId="0" applyNumberFormat="1" applyFont="1" applyFill="1" applyBorder="1" applyAlignment="1" applyProtection="1">
      <alignment/>
      <protection/>
    </xf>
    <xf numFmtId="176" fontId="3" fillId="26" borderId="82" xfId="0" applyNumberFormat="1" applyFont="1" applyFill="1" applyBorder="1" applyAlignment="1" applyProtection="1">
      <alignment/>
      <protection/>
    </xf>
    <xf numFmtId="176" fontId="4" fillId="33" borderId="83" xfId="0" applyNumberFormat="1" applyFont="1" applyFill="1" applyBorder="1" applyAlignment="1" applyProtection="1">
      <alignment/>
      <protection/>
    </xf>
    <xf numFmtId="176" fontId="4" fillId="33" borderId="89" xfId="0" applyNumberFormat="1" applyFont="1" applyFill="1" applyBorder="1" applyAlignment="1" applyProtection="1">
      <alignment/>
      <protection/>
    </xf>
    <xf numFmtId="176" fontId="4" fillId="33" borderId="85" xfId="0" applyNumberFormat="1" applyFont="1" applyFill="1" applyBorder="1" applyAlignment="1" applyProtection="1">
      <alignment/>
      <protection/>
    </xf>
    <xf numFmtId="176" fontId="4" fillId="42" borderId="83" xfId="0" applyNumberFormat="1" applyFont="1" applyFill="1" applyBorder="1" applyAlignment="1" applyProtection="1">
      <alignment/>
      <protection/>
    </xf>
    <xf numFmtId="176" fontId="3" fillId="42" borderId="84" xfId="0" applyNumberFormat="1" applyFont="1" applyFill="1" applyBorder="1" applyAlignment="1" applyProtection="1">
      <alignment/>
      <protection/>
    </xf>
    <xf numFmtId="176" fontId="4" fillId="42" borderId="89" xfId="0" applyNumberFormat="1" applyFont="1" applyFill="1" applyBorder="1" applyAlignment="1" applyProtection="1">
      <alignment/>
      <protection/>
    </xf>
    <xf numFmtId="176" fontId="3" fillId="42" borderId="90" xfId="0" applyNumberFormat="1" applyFont="1" applyFill="1" applyBorder="1" applyAlignment="1" applyProtection="1">
      <alignment/>
      <protection/>
    </xf>
    <xf numFmtId="176" fontId="4" fillId="42" borderId="87" xfId="0" applyNumberFormat="1" applyFont="1" applyFill="1" applyBorder="1" applyAlignment="1" applyProtection="1">
      <alignment/>
      <protection/>
    </xf>
    <xf numFmtId="176" fontId="3" fillId="42" borderId="91" xfId="0" applyNumberFormat="1" applyFont="1" applyFill="1" applyBorder="1" applyAlignment="1" applyProtection="1">
      <alignment/>
      <protection/>
    </xf>
    <xf numFmtId="176" fontId="4" fillId="42" borderId="88" xfId="0" applyNumberFormat="1" applyFont="1" applyFill="1" applyBorder="1" applyAlignment="1" applyProtection="1">
      <alignment/>
      <protection/>
    </xf>
    <xf numFmtId="176" fontId="3" fillId="42" borderId="92" xfId="0" applyNumberFormat="1" applyFont="1" applyFill="1" applyBorder="1" applyAlignment="1" applyProtection="1">
      <alignment/>
      <protection/>
    </xf>
    <xf numFmtId="176" fontId="12" fillId="42" borderId="93" xfId="0" applyNumberFormat="1" applyFont="1" applyFill="1" applyBorder="1" applyAlignment="1" applyProtection="1">
      <alignment/>
      <protection/>
    </xf>
    <xf numFmtId="176" fontId="12" fillId="42" borderId="87" xfId="0" applyNumberFormat="1" applyFont="1" applyFill="1" applyBorder="1" applyAlignment="1" applyProtection="1">
      <alignment/>
      <protection/>
    </xf>
    <xf numFmtId="176" fontId="12" fillId="42" borderId="94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4" fillId="39" borderId="95" xfId="0" applyNumberFormat="1" applyFont="1" applyFill="1" applyBorder="1" applyAlignment="1" applyProtection="1">
      <alignment/>
      <protection/>
    </xf>
    <xf numFmtId="176" fontId="3" fillId="39" borderId="96" xfId="0" applyNumberFormat="1" applyFont="1" applyFill="1" applyBorder="1" applyAlignment="1" applyProtection="1">
      <alignment/>
      <protection/>
    </xf>
    <xf numFmtId="176" fontId="4" fillId="44" borderId="81" xfId="0" applyNumberFormat="1" applyFont="1" applyFill="1" applyBorder="1" applyAlignment="1" applyProtection="1">
      <alignment/>
      <protection/>
    </xf>
    <xf numFmtId="176" fontId="3" fillId="44" borderId="82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3" fillId="33" borderId="92" xfId="0" applyNumberFormat="1" applyFont="1" applyFill="1" applyBorder="1" applyAlignment="1" applyProtection="1">
      <alignment/>
      <protection/>
    </xf>
    <xf numFmtId="176" fontId="4" fillId="46" borderId="95" xfId="0" applyNumberFormat="1" applyFont="1" applyFill="1" applyBorder="1" applyAlignment="1" applyProtection="1">
      <alignment/>
      <protection/>
    </xf>
    <xf numFmtId="176" fontId="4" fillId="5" borderId="95" xfId="0" applyNumberFormat="1" applyFont="1" applyFill="1" applyBorder="1" applyAlignment="1" applyProtection="1">
      <alignment/>
      <protection/>
    </xf>
    <xf numFmtId="176" fontId="3" fillId="5" borderId="96" xfId="0" applyNumberFormat="1" applyFont="1" applyFill="1" applyBorder="1" applyAlignment="1" applyProtection="1">
      <alignment/>
      <protection/>
    </xf>
    <xf numFmtId="176" fontId="4" fillId="39" borderId="97" xfId="0" applyNumberFormat="1" applyFont="1" applyFill="1" applyBorder="1" applyAlignment="1" applyProtection="1">
      <alignment/>
      <protection/>
    </xf>
    <xf numFmtId="176" fontId="3" fillId="39" borderId="98" xfId="0" applyNumberFormat="1" applyFont="1" applyFill="1" applyBorder="1" applyAlignment="1" applyProtection="1">
      <alignment/>
      <protection/>
    </xf>
    <xf numFmtId="176" fontId="4" fillId="39" borderId="99" xfId="0" applyNumberFormat="1" applyFont="1" applyFill="1" applyBorder="1" applyAlignment="1" applyProtection="1">
      <alignment/>
      <protection/>
    </xf>
    <xf numFmtId="176" fontId="3" fillId="39" borderId="100" xfId="0" applyNumberFormat="1" applyFont="1" applyFill="1" applyBorder="1" applyAlignment="1" applyProtection="1">
      <alignment/>
      <protection/>
    </xf>
    <xf numFmtId="176" fontId="3" fillId="46" borderId="96" xfId="0" applyNumberFormat="1" applyFont="1" applyFill="1" applyBorder="1" applyAlignment="1" applyProtection="1">
      <alignment/>
      <protection/>
    </xf>
    <xf numFmtId="176" fontId="3" fillId="45" borderId="92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100" xfId="0" applyNumberFormat="1" applyFont="1" applyFill="1" applyBorder="1" applyAlignment="1" applyProtection="1">
      <alignment/>
      <protection/>
    </xf>
    <xf numFmtId="183" fontId="155" fillId="39" borderId="101" xfId="0" applyNumberFormat="1" applyFont="1" applyFill="1" applyBorder="1" applyAlignment="1" applyProtection="1" quotePrefix="1">
      <alignment horizontal="center"/>
      <protection/>
    </xf>
    <xf numFmtId="183" fontId="161" fillId="40" borderId="101" xfId="0" applyNumberFormat="1" applyFont="1" applyFill="1" applyBorder="1" applyAlignment="1" applyProtection="1" quotePrefix="1">
      <alignment horizontal="center"/>
      <protection/>
    </xf>
    <xf numFmtId="183" fontId="162" fillId="48" borderId="101" xfId="0" applyNumberFormat="1" applyFont="1" applyFill="1" applyBorder="1" applyAlignment="1" applyProtection="1" quotePrefix="1">
      <alignment horizontal="center"/>
      <protection/>
    </xf>
    <xf numFmtId="183" fontId="3" fillId="33" borderId="102" xfId="0" applyNumberFormat="1" applyFont="1" applyFill="1" applyBorder="1" applyAlignment="1" applyProtection="1" quotePrefix="1">
      <alignment horizontal="center"/>
      <protection/>
    </xf>
    <xf numFmtId="174" fontId="20" fillId="38" borderId="103" xfId="0" applyNumberFormat="1" applyFont="1" applyFill="1" applyBorder="1" applyAlignment="1" applyProtection="1">
      <alignment horizontal="center"/>
      <protection/>
    </xf>
    <xf numFmtId="174" fontId="20" fillId="38" borderId="104" xfId="0" applyNumberFormat="1" applyFont="1" applyFill="1" applyBorder="1" applyAlignment="1" applyProtection="1">
      <alignment horizontal="center"/>
      <protection/>
    </xf>
    <xf numFmtId="174" fontId="163" fillId="38" borderId="103" xfId="0" applyNumberFormat="1" applyFont="1" applyFill="1" applyBorder="1" applyAlignment="1" applyProtection="1">
      <alignment horizontal="center"/>
      <protection/>
    </xf>
    <xf numFmtId="174" fontId="163" fillId="38" borderId="104" xfId="0" applyNumberFormat="1" applyFont="1" applyFill="1" applyBorder="1" applyAlignment="1" applyProtection="1">
      <alignment horizontal="center"/>
      <protection/>
    </xf>
    <xf numFmtId="174" fontId="9" fillId="33" borderId="105" xfId="0" applyNumberFormat="1" applyFont="1" applyFill="1" applyBorder="1" applyAlignment="1" applyProtection="1">
      <alignment horizontal="center"/>
      <protection/>
    </xf>
    <xf numFmtId="174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2" fillId="33" borderId="55" xfId="0" applyNumberFormat="1" applyFont="1" applyFill="1" applyBorder="1" applyAlignment="1" applyProtection="1">
      <alignment/>
      <protection/>
    </xf>
    <xf numFmtId="0" fontId="52" fillId="33" borderId="55" xfId="0" applyFont="1" applyFill="1" applyBorder="1" applyAlignment="1" applyProtection="1">
      <alignment/>
      <protection/>
    </xf>
    <xf numFmtId="166" fontId="164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31" fillId="42" borderId="107" xfId="0" applyNumberFormat="1" applyFont="1" applyFill="1" applyBorder="1" applyAlignment="1" applyProtection="1">
      <alignment/>
      <protection/>
    </xf>
    <xf numFmtId="176" fontId="31" fillId="42" borderId="91" xfId="0" applyNumberFormat="1" applyFont="1" applyFill="1" applyBorder="1" applyAlignment="1" applyProtection="1">
      <alignment/>
      <protection/>
    </xf>
    <xf numFmtId="176" fontId="31" fillId="42" borderId="108" xfId="0" applyNumberFormat="1" applyFont="1" applyFill="1" applyBorder="1" applyAlignment="1" applyProtection="1">
      <alignment/>
      <protection/>
    </xf>
    <xf numFmtId="176" fontId="3" fillId="33" borderId="108" xfId="0" applyNumberFormat="1" applyFont="1" applyFill="1" applyBorder="1" applyAlignment="1" applyProtection="1">
      <alignment/>
      <protection/>
    </xf>
    <xf numFmtId="176" fontId="12" fillId="42" borderId="109" xfId="0" applyNumberFormat="1" applyFont="1" applyFill="1" applyBorder="1" applyAlignment="1" applyProtection="1">
      <alignment/>
      <protection/>
    </xf>
    <xf numFmtId="176" fontId="31" fillId="42" borderId="110" xfId="0" applyNumberFormat="1" applyFont="1" applyFill="1" applyBorder="1" applyAlignment="1" applyProtection="1">
      <alignment/>
      <protection/>
    </xf>
    <xf numFmtId="176" fontId="12" fillId="42" borderId="109" xfId="37" applyNumberFormat="1" applyFont="1" applyFill="1" applyBorder="1" applyAlignment="1" applyProtection="1">
      <alignment/>
      <protection/>
    </xf>
    <xf numFmtId="0" fontId="165" fillId="47" borderId="0" xfId="39" applyFont="1" applyFill="1" applyBorder="1" applyAlignment="1" applyProtection="1">
      <alignment horizontal="center"/>
      <protection/>
    </xf>
    <xf numFmtId="166" fontId="164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2" fillId="33" borderId="0" xfId="0" applyNumberFormat="1" applyFont="1" applyFill="1" applyBorder="1" applyAlignment="1" applyProtection="1">
      <alignment/>
      <protection/>
    </xf>
    <xf numFmtId="0" fontId="14" fillId="35" borderId="0" xfId="42" applyFont="1" applyFill="1" applyBorder="1" applyAlignment="1" applyProtection="1">
      <alignment horizontal="center"/>
      <protection/>
    </xf>
    <xf numFmtId="0" fontId="14" fillId="0" borderId="0" xfId="42" applyFont="1" applyFill="1" applyProtection="1">
      <alignment/>
      <protection/>
    </xf>
    <xf numFmtId="38" fontId="20" fillId="43" borderId="0" xfId="43" applyNumberFormat="1" applyFont="1" applyFill="1" applyBorder="1" applyAlignment="1" applyProtection="1">
      <alignment/>
      <protection/>
    </xf>
    <xf numFmtId="0" fontId="166" fillId="35" borderId="19" xfId="42" applyFont="1" applyFill="1" applyBorder="1" applyAlignment="1" applyProtection="1">
      <alignment/>
      <protection/>
    </xf>
    <xf numFmtId="0" fontId="14" fillId="26" borderId="0" xfId="42" applyFont="1" applyFill="1" applyProtection="1">
      <alignment/>
      <protection/>
    </xf>
    <xf numFmtId="0" fontId="166" fillId="35" borderId="0" xfId="42" applyFont="1" applyFill="1" applyBorder="1" applyAlignment="1" applyProtection="1">
      <alignment/>
      <protection/>
    </xf>
    <xf numFmtId="0" fontId="165" fillId="33" borderId="0" xfId="39" applyFont="1" applyFill="1" applyBorder="1" applyAlignment="1" applyProtection="1">
      <alignment horizontal="center"/>
      <protection/>
    </xf>
    <xf numFmtId="164" fontId="56" fillId="49" borderId="26" xfId="42" applyNumberFormat="1" applyFont="1" applyFill="1" applyBorder="1" applyAlignment="1" applyProtection="1">
      <alignment horizontal="center" vertical="center"/>
      <protection locked="0"/>
    </xf>
    <xf numFmtId="166" fontId="150" fillId="26" borderId="0" xfId="43" applyNumberFormat="1" applyFont="1" applyFill="1" applyAlignment="1" applyProtection="1">
      <alignment/>
      <protection/>
    </xf>
    <xf numFmtId="0" fontId="152" fillId="35" borderId="0" xfId="42" applyFont="1" applyFill="1" applyBorder="1" applyProtection="1">
      <alignment/>
      <protection/>
    </xf>
    <xf numFmtId="0" fontId="167" fillId="35" borderId="0" xfId="42" applyFont="1" applyFill="1" applyBorder="1" applyProtection="1">
      <alignment/>
      <protection/>
    </xf>
    <xf numFmtId="0" fontId="167" fillId="35" borderId="0" xfId="42" applyFont="1" applyFill="1" applyProtection="1">
      <alignment/>
      <protection/>
    </xf>
    <xf numFmtId="172" fontId="168" fillId="48" borderId="22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42" applyFont="1" applyFill="1" applyBorder="1" applyProtection="1">
      <alignment/>
      <protection/>
    </xf>
    <xf numFmtId="0" fontId="15" fillId="36" borderId="19" xfId="42" applyFont="1" applyFill="1" applyBorder="1" applyAlignment="1" applyProtection="1">
      <alignment/>
      <protection/>
    </xf>
    <xf numFmtId="0" fontId="18" fillId="36" borderId="0" xfId="42" applyFont="1" applyFill="1" applyProtection="1">
      <alignment/>
      <protection/>
    </xf>
    <xf numFmtId="164" fontId="13" fillId="36" borderId="26" xfId="42" applyNumberFormat="1" applyFont="1" applyFill="1" applyBorder="1" applyAlignment="1" applyProtection="1">
      <alignment horizontal="center" vertical="center"/>
      <protection/>
    </xf>
    <xf numFmtId="0" fontId="14" fillId="36" borderId="0" xfId="42" applyFont="1" applyFill="1" applyBorder="1" applyAlignment="1" applyProtection="1">
      <alignment horizontal="center"/>
      <protection/>
    </xf>
    <xf numFmtId="0" fontId="15" fillId="36" borderId="0" xfId="42" applyFont="1" applyFill="1" applyBorder="1" applyAlignment="1" applyProtection="1">
      <alignment/>
      <protection/>
    </xf>
    <xf numFmtId="0" fontId="14" fillId="33" borderId="0" xfId="42" applyFont="1" applyFill="1" applyProtection="1">
      <alignment/>
      <protection/>
    </xf>
    <xf numFmtId="0" fontId="18" fillId="36" borderId="0" xfId="42" applyFont="1" applyFill="1" applyBorder="1" applyProtection="1">
      <alignment/>
      <protection/>
    </xf>
    <xf numFmtId="166" fontId="8" fillId="33" borderId="0" xfId="43" applyNumberFormat="1" applyFont="1" applyFill="1" applyAlignment="1" applyProtection="1">
      <alignment/>
      <protection/>
    </xf>
    <xf numFmtId="0" fontId="58" fillId="33" borderId="0" xfId="0" applyFont="1" applyFill="1" applyAlignment="1" applyProtection="1" quotePrefix="1">
      <alignment horizontal="right"/>
      <protection/>
    </xf>
    <xf numFmtId="0" fontId="3" fillId="33" borderId="0" xfId="37" applyFont="1" applyFill="1" applyBorder="1" applyAlignment="1" applyProtection="1">
      <alignment horizontal="left"/>
      <protection/>
    </xf>
    <xf numFmtId="164" fontId="169" fillId="33" borderId="26" xfId="42" applyNumberFormat="1" applyFont="1" applyFill="1" applyBorder="1" applyAlignment="1" applyProtection="1">
      <alignment horizontal="center" vertical="center"/>
      <protection/>
    </xf>
    <xf numFmtId="164" fontId="170" fillId="33" borderId="26" xfId="42" applyNumberFormat="1" applyFont="1" applyFill="1" applyBorder="1" applyAlignment="1" applyProtection="1">
      <alignment horizontal="center" vertical="center"/>
      <protection/>
    </xf>
    <xf numFmtId="0" fontId="9" fillId="33" borderId="26" xfId="42" applyNumberFormat="1" applyFont="1" applyFill="1" applyBorder="1" applyAlignment="1" applyProtection="1">
      <alignment horizontal="center" vertical="center"/>
      <protection/>
    </xf>
    <xf numFmtId="0" fontId="9" fillId="38" borderId="26" xfId="42" applyNumberFormat="1" applyFont="1" applyFill="1" applyBorder="1" applyAlignment="1" applyProtection="1">
      <alignment horizontal="center" vertical="center"/>
      <protection locked="0"/>
    </xf>
    <xf numFmtId="38" fontId="17" fillId="33" borderId="59" xfId="43" applyNumberFormat="1" applyFont="1" applyFill="1" applyBorder="1" applyAlignment="1" applyProtection="1">
      <alignment/>
      <protection/>
    </xf>
    <xf numFmtId="38" fontId="17" fillId="33" borderId="58" xfId="43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43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34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76" fontId="6" fillId="33" borderId="60" xfId="0" applyNumberFormat="1" applyFont="1" applyFill="1" applyBorder="1" applyAlignment="1" applyProtection="1">
      <alignment horizontal="right"/>
      <protection/>
    </xf>
    <xf numFmtId="176" fontId="6" fillId="26" borderId="60" xfId="0" applyNumberFormat="1" applyFont="1" applyFill="1" applyBorder="1" applyAlignment="1" applyProtection="1">
      <alignment horizontal="right"/>
      <protection/>
    </xf>
    <xf numFmtId="172" fontId="4" fillId="33" borderId="111" xfId="0" applyNumberFormat="1" applyFont="1" applyFill="1" applyBorder="1" applyAlignment="1" applyProtection="1" quotePrefix="1">
      <alignment horizontal="center" wrapText="1"/>
      <protection/>
    </xf>
    <xf numFmtId="176" fontId="3" fillId="45" borderId="88" xfId="0" applyNumberFormat="1" applyFont="1" applyFill="1" applyBorder="1" applyAlignment="1" applyProtection="1">
      <alignment/>
      <protection/>
    </xf>
    <xf numFmtId="166" fontId="171" fillId="33" borderId="70" xfId="0" applyNumberFormat="1" applyFont="1" applyFill="1" applyBorder="1" applyAlignment="1" applyProtection="1" quotePrefix="1">
      <alignment/>
      <protection/>
    </xf>
    <xf numFmtId="166" fontId="172" fillId="33" borderId="70" xfId="0" applyNumberFormat="1" applyFont="1" applyFill="1" applyBorder="1" applyAlignment="1" applyProtection="1" quotePrefix="1">
      <alignment/>
      <protection/>
    </xf>
    <xf numFmtId="166" fontId="171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1" fillId="33" borderId="115" xfId="0" applyNumberFormat="1" applyFont="1" applyFill="1" applyBorder="1" applyAlignment="1" applyProtection="1" quotePrefix="1">
      <alignment/>
      <protection/>
    </xf>
    <xf numFmtId="166" fontId="171" fillId="26" borderId="31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66" fontId="171" fillId="26" borderId="115" xfId="0" applyNumberFormat="1" applyFont="1" applyFill="1" applyBorder="1" applyAlignment="1" applyProtection="1" quotePrefix="1">
      <alignment/>
      <protection/>
    </xf>
    <xf numFmtId="166" fontId="172" fillId="26" borderId="31" xfId="0" applyNumberFormat="1" applyFont="1" applyFill="1" applyBorder="1" applyAlignment="1" applyProtection="1" quotePrefix="1">
      <alignment/>
      <protection/>
    </xf>
    <xf numFmtId="166" fontId="171" fillId="33" borderId="85" xfId="0" applyNumberFormat="1" applyFont="1" applyFill="1" applyBorder="1" applyAlignment="1" applyProtection="1" quotePrefix="1">
      <alignment/>
      <protection/>
    </xf>
    <xf numFmtId="166" fontId="172" fillId="33" borderId="86" xfId="0" applyNumberFormat="1" applyFont="1" applyFill="1" applyBorder="1" applyAlignment="1" applyProtection="1" quotePrefix="1">
      <alignment/>
      <protection/>
    </xf>
    <xf numFmtId="166" fontId="172" fillId="33" borderId="31" xfId="0" applyNumberFormat="1" applyFont="1" applyFill="1" applyBorder="1" applyAlignment="1" applyProtection="1" quotePrefix="1">
      <alignment/>
      <protection/>
    </xf>
    <xf numFmtId="0" fontId="32" fillId="33" borderId="116" xfId="42" applyFont="1" applyFill="1" applyBorder="1" applyProtection="1">
      <alignment/>
      <protection/>
    </xf>
    <xf numFmtId="0" fontId="32" fillId="33" borderId="42" xfId="42" applyFont="1" applyFill="1" applyBorder="1" applyProtection="1">
      <alignment/>
      <protection/>
    </xf>
    <xf numFmtId="0" fontId="32" fillId="33" borderId="28" xfId="42" applyFont="1" applyFill="1" applyBorder="1" applyProtection="1">
      <alignment/>
      <protection/>
    </xf>
    <xf numFmtId="174" fontId="36" fillId="50" borderId="117" xfId="0" applyNumberFormat="1" applyFont="1" applyFill="1" applyBorder="1" applyAlignment="1" applyProtection="1">
      <alignment horizontal="center"/>
      <protection/>
    </xf>
    <xf numFmtId="174" fontId="37" fillId="41" borderId="117" xfId="0" applyNumberFormat="1" applyFont="1" applyFill="1" applyBorder="1" applyAlignment="1" applyProtection="1">
      <alignment horizontal="center"/>
      <protection/>
    </xf>
    <xf numFmtId="174" fontId="173" fillId="50" borderId="117" xfId="0" applyNumberFormat="1" applyFont="1" applyFill="1" applyBorder="1" applyAlignment="1" applyProtection="1">
      <alignment horizontal="center"/>
      <protection/>
    </xf>
    <xf numFmtId="174" fontId="174" fillId="41" borderId="117" xfId="0" applyNumberFormat="1" applyFont="1" applyFill="1" applyBorder="1" applyAlignment="1" applyProtection="1">
      <alignment horizontal="center"/>
      <protection/>
    </xf>
    <xf numFmtId="174" fontId="36" fillId="51" borderId="117" xfId="0" applyNumberFormat="1" applyFont="1" applyFill="1" applyBorder="1" applyAlignment="1" applyProtection="1">
      <alignment horizontal="center"/>
      <protection/>
    </xf>
    <xf numFmtId="174" fontId="37" fillId="51" borderId="117" xfId="0" applyNumberFormat="1" applyFont="1" applyFill="1" applyBorder="1" applyAlignment="1" applyProtection="1">
      <alignment horizontal="center"/>
      <protection/>
    </xf>
    <xf numFmtId="174" fontId="175" fillId="51" borderId="117" xfId="0" applyNumberFormat="1" applyFont="1" applyFill="1" applyBorder="1" applyAlignment="1" applyProtection="1">
      <alignment horizontal="center"/>
      <protection/>
    </xf>
    <xf numFmtId="174" fontId="174" fillId="51" borderId="117" xfId="0" applyNumberFormat="1" applyFont="1" applyFill="1" applyBorder="1" applyAlignment="1" applyProtection="1">
      <alignment horizontal="center"/>
      <protection/>
    </xf>
    <xf numFmtId="174" fontId="36" fillId="52" borderId="117" xfId="0" applyNumberFormat="1" applyFont="1" applyFill="1" applyBorder="1" applyAlignment="1" applyProtection="1">
      <alignment horizontal="center"/>
      <protection/>
    </xf>
    <xf numFmtId="174" fontId="37" fillId="52" borderId="117" xfId="0" applyNumberFormat="1" applyFont="1" applyFill="1" applyBorder="1" applyAlignment="1" applyProtection="1">
      <alignment horizontal="center"/>
      <protection/>
    </xf>
    <xf numFmtId="174" fontId="176" fillId="52" borderId="117" xfId="0" applyNumberFormat="1" applyFont="1" applyFill="1" applyBorder="1" applyAlignment="1" applyProtection="1">
      <alignment horizontal="center"/>
      <protection/>
    </xf>
    <xf numFmtId="174" fontId="177" fillId="52" borderId="117" xfId="0" applyNumberFormat="1" applyFont="1" applyFill="1" applyBorder="1" applyAlignment="1" applyProtection="1">
      <alignment horizontal="center"/>
      <protection/>
    </xf>
    <xf numFmtId="174" fontId="20" fillId="38" borderId="118" xfId="0" applyNumberFormat="1" applyFont="1" applyFill="1" applyBorder="1" applyAlignment="1" applyProtection="1">
      <alignment horizontal="center"/>
      <protection/>
    </xf>
    <xf numFmtId="174" fontId="20" fillId="38" borderId="119" xfId="0" applyNumberFormat="1" applyFont="1" applyFill="1" applyBorder="1" applyAlignment="1" applyProtection="1">
      <alignment horizontal="center"/>
      <protection/>
    </xf>
    <xf numFmtId="174" fontId="163" fillId="38" borderId="118" xfId="0" applyNumberFormat="1" applyFont="1" applyFill="1" applyBorder="1" applyAlignment="1" applyProtection="1">
      <alignment horizontal="center"/>
      <protection/>
    </xf>
    <xf numFmtId="174" fontId="163" fillId="38" borderId="119" xfId="0" applyNumberFormat="1" applyFont="1" applyFill="1" applyBorder="1" applyAlignment="1" applyProtection="1">
      <alignment horizontal="center"/>
      <protection/>
    </xf>
    <xf numFmtId="166" fontId="12" fillId="26" borderId="118" xfId="0" applyNumberFormat="1" applyFont="1" applyFill="1" applyBorder="1" applyAlignment="1" applyProtection="1">
      <alignment horizontal="center"/>
      <protection/>
    </xf>
    <xf numFmtId="166" fontId="31" fillId="26" borderId="105" xfId="0" applyNumberFormat="1" applyFont="1" applyFill="1" applyBorder="1" applyAlignment="1" applyProtection="1">
      <alignment horizontal="center"/>
      <protection/>
    </xf>
    <xf numFmtId="166" fontId="12" fillId="41" borderId="119" xfId="0" applyNumberFormat="1" applyFont="1" applyFill="1" applyBorder="1" applyAlignment="1" applyProtection="1">
      <alignment horizontal="center"/>
      <protection locked="0"/>
    </xf>
    <xf numFmtId="166" fontId="31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43" applyNumberFormat="1" applyFont="1" applyFill="1" applyBorder="1" applyAlignment="1" applyProtection="1">
      <alignment/>
      <protection/>
    </xf>
    <xf numFmtId="38" fontId="9" fillId="42" borderId="43" xfId="43" applyNumberFormat="1" applyFont="1" applyFill="1" applyBorder="1" applyAlignment="1" applyProtection="1">
      <alignment/>
      <protection/>
    </xf>
    <xf numFmtId="38" fontId="178" fillId="42" borderId="41" xfId="43" applyNumberFormat="1" applyFont="1" applyFill="1" applyBorder="1" applyAlignment="1" applyProtection="1">
      <alignment/>
      <protection/>
    </xf>
    <xf numFmtId="176" fontId="4" fillId="45" borderId="70" xfId="0" applyNumberFormat="1" applyFont="1" applyFill="1" applyBorder="1" applyAlignment="1" applyProtection="1">
      <alignment/>
      <protection/>
    </xf>
    <xf numFmtId="176" fontId="3" fillId="45" borderId="70" xfId="0" applyNumberFormat="1" applyFont="1" applyFill="1" applyBorder="1" applyAlignment="1" applyProtection="1">
      <alignment/>
      <protection/>
    </xf>
    <xf numFmtId="176" fontId="4" fillId="45" borderId="85" xfId="0" applyNumberFormat="1" applyFont="1" applyFill="1" applyBorder="1" applyAlignment="1" applyProtection="1">
      <alignment/>
      <protection/>
    </xf>
    <xf numFmtId="176" fontId="3" fillId="45" borderId="86" xfId="0" applyNumberFormat="1" applyFont="1" applyFill="1" applyBorder="1" applyAlignment="1" applyProtection="1">
      <alignment/>
      <protection/>
    </xf>
    <xf numFmtId="176" fontId="12" fillId="42" borderId="81" xfId="0" applyNumberFormat="1" applyFont="1" applyFill="1" applyBorder="1" applyAlignment="1" applyProtection="1">
      <alignment/>
      <protection/>
    </xf>
    <xf numFmtId="176" fontId="31" fillId="42" borderId="82" xfId="0" applyNumberFormat="1" applyFont="1" applyFill="1" applyBorder="1" applyAlignment="1" applyProtection="1">
      <alignment/>
      <protection/>
    </xf>
    <xf numFmtId="176" fontId="12" fillId="42" borderId="10" xfId="0" applyNumberFormat="1" applyFont="1" applyFill="1" applyBorder="1" applyAlignment="1" applyProtection="1">
      <alignment/>
      <protection/>
    </xf>
    <xf numFmtId="176" fontId="31" fillId="42" borderId="10" xfId="0" applyNumberFormat="1" applyFont="1" applyFill="1" applyBorder="1" applyAlignment="1" applyProtection="1">
      <alignment/>
      <protection/>
    </xf>
    <xf numFmtId="176" fontId="12" fillId="42" borderId="10" xfId="0" applyNumberFormat="1" applyFont="1" applyFill="1" applyBorder="1" applyAlignment="1" applyProtection="1">
      <alignment/>
      <protection locked="0"/>
    </xf>
    <xf numFmtId="176" fontId="31" fillId="42" borderId="10" xfId="0" applyNumberFormat="1" applyFont="1" applyFill="1" applyBorder="1" applyAlignment="1" applyProtection="1">
      <alignment/>
      <protection locked="0"/>
    </xf>
    <xf numFmtId="166" fontId="164" fillId="26" borderId="0" xfId="0" applyNumberFormat="1" applyFont="1" applyFill="1" applyBorder="1" applyAlignment="1" applyProtection="1" quotePrefix="1">
      <alignment horizontal="center"/>
      <protection/>
    </xf>
    <xf numFmtId="166" fontId="164" fillId="33" borderId="0" xfId="0" applyNumberFormat="1" applyFont="1" applyFill="1" applyBorder="1" applyAlignment="1" applyProtection="1" quotePrefix="1">
      <alignment horizontal="center"/>
      <protection/>
    </xf>
    <xf numFmtId="0" fontId="165" fillId="53" borderId="0" xfId="39" applyFont="1" applyFill="1" applyBorder="1" applyAlignment="1" applyProtection="1">
      <alignment horizontal="center"/>
      <protection/>
    </xf>
    <xf numFmtId="38" fontId="15" fillId="33" borderId="54" xfId="43" applyNumberFormat="1" applyFont="1" applyFill="1" applyBorder="1" applyAlignment="1" applyProtection="1">
      <alignment/>
      <protection/>
    </xf>
    <xf numFmtId="38" fontId="15" fillId="33" borderId="19" xfId="43" applyNumberFormat="1" applyFont="1" applyFill="1" applyBorder="1" applyAlignment="1" applyProtection="1">
      <alignment/>
      <protection/>
    </xf>
    <xf numFmtId="38" fontId="15" fillId="33" borderId="51" xfId="43" applyNumberFormat="1" applyFont="1" applyFill="1" applyBorder="1" applyAlignment="1" applyProtection="1">
      <alignment/>
      <protection/>
    </xf>
    <xf numFmtId="38" fontId="15" fillId="33" borderId="54" xfId="43" applyNumberFormat="1" applyFont="1" applyFill="1" applyBorder="1" applyAlignment="1" applyProtection="1">
      <alignment horizontal="left"/>
      <protection/>
    </xf>
    <xf numFmtId="38" fontId="15" fillId="33" borderId="19" xfId="43" applyNumberFormat="1" applyFont="1" applyFill="1" applyBorder="1" applyAlignment="1" applyProtection="1">
      <alignment horizontal="left"/>
      <protection/>
    </xf>
    <xf numFmtId="38" fontId="15" fillId="33" borderId="51" xfId="43" applyNumberFormat="1" applyFont="1" applyFill="1" applyBorder="1" applyAlignment="1" applyProtection="1">
      <alignment horizontal="left"/>
      <protection/>
    </xf>
    <xf numFmtId="38" fontId="20" fillId="26" borderId="54" xfId="43" applyNumberFormat="1" applyFont="1" applyFill="1" applyBorder="1" applyAlignment="1" applyProtection="1">
      <alignment/>
      <protection/>
    </xf>
    <xf numFmtId="38" fontId="20" fillId="26" borderId="19" xfId="43" applyNumberFormat="1" applyFont="1" applyFill="1" applyBorder="1" applyAlignment="1" applyProtection="1">
      <alignment/>
      <protection/>
    </xf>
    <xf numFmtId="176" fontId="4" fillId="26" borderId="55" xfId="0" applyNumberFormat="1" applyFont="1" applyFill="1" applyBorder="1" applyAlignment="1" applyProtection="1">
      <alignment/>
      <protection/>
    </xf>
    <xf numFmtId="176" fontId="3" fillId="26" borderId="55" xfId="0" applyNumberFormat="1" applyFont="1" applyFill="1" applyBorder="1" applyAlignment="1" applyProtection="1">
      <alignment/>
      <protection/>
    </xf>
    <xf numFmtId="176" fontId="6" fillId="26" borderId="0" xfId="0" applyNumberFormat="1" applyFont="1" applyFill="1" applyBorder="1" applyAlignment="1" applyProtection="1">
      <alignment horizontal="right"/>
      <protection/>
    </xf>
    <xf numFmtId="176" fontId="3" fillId="26" borderId="120" xfId="0" applyNumberFormat="1" applyFont="1" applyFill="1" applyBorder="1" applyAlignment="1" applyProtection="1">
      <alignment/>
      <protection/>
    </xf>
    <xf numFmtId="38" fontId="20" fillId="26" borderId="115" xfId="43" applyNumberFormat="1" applyFont="1" applyFill="1" applyBorder="1" applyAlignment="1" applyProtection="1">
      <alignment/>
      <protection/>
    </xf>
    <xf numFmtId="176" fontId="4" fillId="26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76" fontId="4" fillId="33" borderId="124" xfId="0" applyNumberFormat="1" applyFont="1" applyFill="1" applyBorder="1" applyAlignment="1" applyProtection="1">
      <alignment/>
      <protection/>
    </xf>
    <xf numFmtId="176" fontId="3" fillId="33" borderId="124" xfId="0" applyNumberFormat="1" applyFont="1" applyFill="1" applyBorder="1" applyAlignment="1" applyProtection="1">
      <alignment/>
      <protection/>
    </xf>
    <xf numFmtId="0" fontId="2" fillId="26" borderId="0" xfId="37" applyFont="1" applyFill="1" applyAlignment="1" applyProtection="1">
      <alignment horizontal="center"/>
      <protection/>
    </xf>
    <xf numFmtId="0" fontId="152" fillId="38" borderId="0" xfId="34" applyFont="1" applyFill="1" applyBorder="1" quotePrefix="1">
      <alignment/>
      <protection/>
    </xf>
    <xf numFmtId="187" fontId="23" fillId="33" borderId="0" xfId="35" applyNumberFormat="1" applyFont="1" applyFill="1" applyBorder="1" applyAlignment="1">
      <alignment/>
      <protection/>
    </xf>
    <xf numFmtId="189" fontId="23" fillId="26" borderId="68" xfId="35" applyNumberFormat="1" applyFont="1" applyFill="1" applyBorder="1" applyAlignment="1">
      <alignment/>
      <protection/>
    </xf>
    <xf numFmtId="189" fontId="23" fillId="26" borderId="18" xfId="35" applyNumberFormat="1" applyFont="1" applyFill="1" applyBorder="1" applyAlignment="1">
      <alignment/>
      <protection/>
    </xf>
    <xf numFmtId="189" fontId="23" fillId="26" borderId="21" xfId="35" applyNumberFormat="1" applyFont="1" applyFill="1" applyBorder="1" applyAlignment="1">
      <alignment/>
      <protection/>
    </xf>
    <xf numFmtId="189" fontId="23" fillId="44" borderId="68" xfId="35" applyNumberFormat="1" applyFont="1" applyFill="1" applyBorder="1" applyAlignment="1">
      <alignment/>
      <protection/>
    </xf>
    <xf numFmtId="189" fontId="23" fillId="44" borderId="18" xfId="35" applyNumberFormat="1" applyFont="1" applyFill="1" applyBorder="1" applyAlignment="1">
      <alignment/>
      <protection/>
    </xf>
    <xf numFmtId="189" fontId="23" fillId="44" borderId="21" xfId="35" applyNumberFormat="1" applyFont="1" applyFill="1" applyBorder="1" applyAlignment="1">
      <alignment/>
      <protection/>
    </xf>
    <xf numFmtId="193" fontId="23" fillId="33" borderId="0" xfId="34" applyNumberFormat="1" applyFont="1" applyFill="1" applyBorder="1" applyAlignment="1">
      <alignment/>
      <protection/>
    </xf>
    <xf numFmtId="176" fontId="4" fillId="33" borderId="125" xfId="0" applyNumberFormat="1" applyFont="1" applyFill="1" applyBorder="1" applyAlignment="1" applyProtection="1">
      <alignment/>
      <protection/>
    </xf>
    <xf numFmtId="176" fontId="3" fillId="33" borderId="126" xfId="0" applyNumberFormat="1" applyFont="1" applyFill="1" applyBorder="1" applyAlignment="1" applyProtection="1">
      <alignment/>
      <protection/>
    </xf>
    <xf numFmtId="38" fontId="9" fillId="33" borderId="27" xfId="43" applyNumberFormat="1" applyFont="1" applyFill="1" applyBorder="1" applyAlignment="1" applyProtection="1">
      <alignment/>
      <protection/>
    </xf>
    <xf numFmtId="38" fontId="9" fillId="33" borderId="42" xfId="43" applyNumberFormat="1" applyFont="1" applyFill="1" applyBorder="1" applyAlignment="1" applyProtection="1">
      <alignment/>
      <protection/>
    </xf>
    <xf numFmtId="38" fontId="9" fillId="33" borderId="28" xfId="43" applyNumberFormat="1" applyFont="1" applyFill="1" applyBorder="1" applyAlignment="1" applyProtection="1">
      <alignment/>
      <protection/>
    </xf>
    <xf numFmtId="172" fontId="179" fillId="39" borderId="26" xfId="0" applyNumberFormat="1" applyFont="1" applyFill="1" applyBorder="1" applyAlignment="1" applyProtection="1">
      <alignment horizontal="center"/>
      <protection/>
    </xf>
    <xf numFmtId="172" fontId="180" fillId="39" borderId="26" xfId="0" applyNumberFormat="1" applyFont="1" applyFill="1" applyBorder="1" applyAlignment="1" applyProtection="1">
      <alignment horizontal="center"/>
      <protection/>
    </xf>
    <xf numFmtId="183" fontId="155" fillId="39" borderId="26" xfId="0" applyNumberFormat="1" applyFont="1" applyFill="1" applyBorder="1" applyAlignment="1" applyProtection="1" quotePrefix="1">
      <alignment horizontal="center"/>
      <protection/>
    </xf>
    <xf numFmtId="171" fontId="156" fillId="40" borderId="26" xfId="0" applyNumberFormat="1" applyFont="1" applyFill="1" applyBorder="1" applyAlignment="1" applyProtection="1" quotePrefix="1">
      <alignment horizontal="center"/>
      <protection/>
    </xf>
    <xf numFmtId="183" fontId="161" fillId="40" borderId="26" xfId="0" applyNumberFormat="1" applyFont="1" applyFill="1" applyBorder="1" applyAlignment="1" applyProtection="1" quotePrefix="1">
      <alignment horizontal="center"/>
      <protection/>
    </xf>
    <xf numFmtId="171" fontId="161" fillId="40" borderId="26" xfId="0" applyNumberFormat="1" applyFont="1" applyFill="1" applyBorder="1" applyAlignment="1" applyProtection="1" quotePrefix="1">
      <alignment horizontal="center"/>
      <protection/>
    </xf>
    <xf numFmtId="171" fontId="168" fillId="48" borderId="26" xfId="0" applyNumberFormat="1" applyFont="1" applyFill="1" applyBorder="1" applyAlignment="1" applyProtection="1" quotePrefix="1">
      <alignment horizontal="center"/>
      <protection/>
    </xf>
    <xf numFmtId="183" fontId="162" fillId="48" borderId="26" xfId="0" applyNumberFormat="1" applyFont="1" applyFill="1" applyBorder="1" applyAlignment="1" applyProtection="1" quotePrefix="1">
      <alignment horizontal="center"/>
      <protection/>
    </xf>
    <xf numFmtId="176" fontId="4" fillId="33" borderId="26" xfId="0" applyNumberFormat="1" applyFont="1" applyFill="1" applyBorder="1" applyAlignment="1" applyProtection="1">
      <alignment/>
      <protection locked="0"/>
    </xf>
    <xf numFmtId="176" fontId="3" fillId="33" borderId="26" xfId="0" applyNumberFormat="1" applyFont="1" applyFill="1" applyBorder="1" applyAlignment="1" applyProtection="1">
      <alignment/>
      <protection locked="0"/>
    </xf>
    <xf numFmtId="38" fontId="181" fillId="47" borderId="27" xfId="43" applyNumberFormat="1" applyFont="1" applyFill="1" applyBorder="1" applyAlignment="1" applyProtection="1">
      <alignment/>
      <protection/>
    </xf>
    <xf numFmtId="176" fontId="4" fillId="54" borderId="26" xfId="0" applyNumberFormat="1" applyFont="1" applyFill="1" applyBorder="1" applyAlignment="1" applyProtection="1">
      <alignment/>
      <protection/>
    </xf>
    <xf numFmtId="176" fontId="3" fillId="54" borderId="26" xfId="0" applyNumberFormat="1" applyFont="1" applyFill="1" applyBorder="1" applyAlignment="1" applyProtection="1">
      <alignment/>
      <protection/>
    </xf>
    <xf numFmtId="0" fontId="3" fillId="26" borderId="27" xfId="0" applyFont="1" applyFill="1" applyBorder="1" applyAlignment="1" applyProtection="1">
      <alignment horizontal="left"/>
      <protection/>
    </xf>
    <xf numFmtId="0" fontId="31" fillId="41" borderId="27" xfId="0" applyFont="1" applyFill="1" applyBorder="1" applyAlignment="1" applyProtection="1">
      <alignment horizontal="left"/>
      <protection/>
    </xf>
    <xf numFmtId="176" fontId="4" fillId="54" borderId="127" xfId="0" applyNumberFormat="1" applyFont="1" applyFill="1" applyBorder="1" applyAlignment="1" applyProtection="1">
      <alignment/>
      <protection/>
    </xf>
    <xf numFmtId="176" fontId="3" fillId="54" borderId="128" xfId="0" applyNumberFormat="1" applyFont="1" applyFill="1" applyBorder="1" applyAlignment="1" applyProtection="1">
      <alignment/>
      <protection/>
    </xf>
    <xf numFmtId="176" fontId="4" fillId="33" borderId="127" xfId="0" applyNumberFormat="1" applyFont="1" applyFill="1" applyBorder="1" applyAlignment="1" applyProtection="1">
      <alignment/>
      <protection/>
    </xf>
    <xf numFmtId="176" fontId="3" fillId="33" borderId="128" xfId="0" applyNumberFormat="1" applyFont="1" applyFill="1" applyBorder="1" applyAlignment="1" applyProtection="1">
      <alignment/>
      <protection/>
    </xf>
    <xf numFmtId="171" fontId="4" fillId="33" borderId="118" xfId="0" applyNumberFormat="1" applyFont="1" applyFill="1" applyBorder="1" applyAlignment="1" applyProtection="1" quotePrefix="1">
      <alignment horizontal="center"/>
      <protection/>
    </xf>
    <xf numFmtId="183" fontId="3" fillId="33" borderId="105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20" fillId="38" borderId="118" xfId="0" applyNumberFormat="1" applyFont="1" applyFill="1" applyBorder="1" applyAlignment="1" applyProtection="1">
      <alignment horizontal="center"/>
      <protection/>
    </xf>
    <xf numFmtId="202" fontId="23" fillId="33" borderId="0" xfId="35" applyNumberFormat="1" applyFont="1" applyFill="1" applyBorder="1" applyAlignment="1">
      <alignment/>
      <protection/>
    </xf>
    <xf numFmtId="169" fontId="23" fillId="33" borderId="0" xfId="34" applyNumberFormat="1" applyFont="1" applyFill="1" applyBorder="1" applyAlignment="1">
      <alignment/>
      <protection/>
    </xf>
    <xf numFmtId="171" fontId="23" fillId="33" borderId="0" xfId="34" applyNumberFormat="1" applyFont="1" applyFill="1" applyBorder="1" applyAlignment="1">
      <alignment/>
      <protection/>
    </xf>
    <xf numFmtId="187" fontId="19" fillId="54" borderId="19" xfId="35" applyNumberFormat="1" applyFont="1" applyFill="1" applyBorder="1" applyAlignment="1">
      <alignment/>
      <protection/>
    </xf>
    <xf numFmtId="187" fontId="19" fillId="54" borderId="68" xfId="35" applyNumberFormat="1" applyFont="1" applyFill="1" applyBorder="1" applyAlignment="1">
      <alignment/>
      <protection/>
    </xf>
    <xf numFmtId="187" fontId="19" fillId="54" borderId="20" xfId="35" applyNumberFormat="1" applyFont="1" applyFill="1" applyBorder="1" applyAlignment="1">
      <alignment/>
      <protection/>
    </xf>
    <xf numFmtId="187" fontId="19" fillId="54" borderId="21" xfId="35" applyNumberFormat="1" applyFont="1" applyFill="1" applyBorder="1" applyAlignment="1">
      <alignment/>
      <protection/>
    </xf>
    <xf numFmtId="0" fontId="8" fillId="54" borderId="67" xfId="34" applyFont="1" applyFill="1" applyBorder="1" quotePrefix="1">
      <alignment/>
      <protection/>
    </xf>
    <xf numFmtId="0" fontId="8" fillId="54" borderId="19" xfId="34" applyFont="1" applyFill="1" applyBorder="1">
      <alignment/>
      <protection/>
    </xf>
    <xf numFmtId="0" fontId="8" fillId="54" borderId="25" xfId="34" applyFont="1" applyFill="1" applyBorder="1" quotePrefix="1">
      <alignment/>
      <protection/>
    </xf>
    <xf numFmtId="0" fontId="8" fillId="54" borderId="20" xfId="34" applyFont="1" applyFill="1" applyBorder="1">
      <alignment/>
      <protection/>
    </xf>
    <xf numFmtId="203" fontId="182" fillId="39" borderId="101" xfId="0" applyNumberFormat="1" applyFont="1" applyFill="1" applyBorder="1" applyAlignment="1" applyProtection="1" quotePrefix="1">
      <alignment horizontal="center"/>
      <protection/>
    </xf>
    <xf numFmtId="203" fontId="156" fillId="40" borderId="101" xfId="0" applyNumberFormat="1" applyFont="1" applyFill="1" applyBorder="1" applyAlignment="1" applyProtection="1" quotePrefix="1">
      <alignment horizontal="center"/>
      <protection/>
    </xf>
    <xf numFmtId="203" fontId="168" fillId="48" borderId="101" xfId="0" applyNumberFormat="1" applyFont="1" applyFill="1" applyBorder="1" applyAlignment="1" applyProtection="1" quotePrefix="1">
      <alignment horizontal="center"/>
      <protection/>
    </xf>
    <xf numFmtId="203" fontId="4" fillId="33" borderId="129" xfId="0" applyNumberFormat="1" applyFont="1" applyFill="1" applyBorder="1" applyAlignment="1" applyProtection="1" quotePrefix="1">
      <alignment horizontal="center"/>
      <protection/>
    </xf>
    <xf numFmtId="203" fontId="183" fillId="26" borderId="44" xfId="0" applyNumberFormat="1" applyFont="1" applyFill="1" applyBorder="1" applyAlignment="1" applyProtection="1">
      <alignment horizontal="center"/>
      <protection locked="0"/>
    </xf>
    <xf numFmtId="203" fontId="182" fillId="39" borderId="26" xfId="0" applyNumberFormat="1" applyFont="1" applyFill="1" applyBorder="1" applyAlignment="1" applyProtection="1">
      <alignment horizontal="center"/>
      <protection/>
    </xf>
    <xf numFmtId="203" fontId="156" fillId="40" borderId="26" xfId="0" applyNumberFormat="1" applyFont="1" applyFill="1" applyBorder="1" applyAlignment="1" applyProtection="1" quotePrefix="1">
      <alignment horizontal="center"/>
      <protection/>
    </xf>
    <xf numFmtId="203" fontId="168" fillId="48" borderId="26" xfId="0" applyNumberFormat="1" applyFont="1" applyFill="1" applyBorder="1" applyAlignment="1" applyProtection="1" quotePrefix="1">
      <alignment horizontal="center"/>
      <protection/>
    </xf>
    <xf numFmtId="203" fontId="4" fillId="33" borderId="119" xfId="0" applyNumberFormat="1" applyFont="1" applyFill="1" applyBorder="1" applyAlignment="1" applyProtection="1" quotePrefix="1">
      <alignment horizontal="center"/>
      <protection/>
    </xf>
    <xf numFmtId="203" fontId="184" fillId="33" borderId="44" xfId="0" applyNumberFormat="1" applyFont="1" applyFill="1" applyBorder="1" applyAlignment="1" applyProtection="1">
      <alignment horizontal="center"/>
      <protection/>
    </xf>
    <xf numFmtId="192" fontId="23" fillId="33" borderId="0" xfId="34" applyNumberFormat="1" applyFont="1" applyFill="1" applyBorder="1" applyAlignment="1">
      <alignment horizontal="center"/>
      <protection/>
    </xf>
    <xf numFmtId="171" fontId="23" fillId="26" borderId="0" xfId="34" applyNumberFormat="1" applyFont="1" applyFill="1" applyBorder="1" applyAlignment="1">
      <alignment horizontal="center"/>
      <protection/>
    </xf>
    <xf numFmtId="0" fontId="9" fillId="37" borderId="0" xfId="34" applyFont="1" applyFill="1" applyProtection="1">
      <alignment/>
      <protection/>
    </xf>
    <xf numFmtId="0" fontId="20" fillId="37" borderId="0" xfId="34" applyFont="1" applyFill="1" applyBorder="1" applyAlignment="1">
      <alignment vertical="center"/>
      <protection/>
    </xf>
    <xf numFmtId="0" fontId="9" fillId="37" borderId="0" xfId="34" applyFont="1" applyFill="1" applyBorder="1" applyAlignment="1">
      <alignment vertical="center"/>
      <protection/>
    </xf>
    <xf numFmtId="0" fontId="9" fillId="37" borderId="0" xfId="34" applyFont="1" applyFill="1" applyBorder="1" applyAlignment="1" applyProtection="1">
      <alignment vertical="center"/>
      <protection/>
    </xf>
    <xf numFmtId="0" fontId="20" fillId="37" borderId="0" xfId="34" applyFont="1" applyFill="1" applyBorder="1" applyAlignment="1">
      <alignment horizontal="center" vertical="center"/>
      <protection/>
    </xf>
    <xf numFmtId="4" fontId="9" fillId="37" borderId="0" xfId="34" applyNumberFormat="1" applyFont="1" applyFill="1" applyAlignment="1" applyProtection="1">
      <alignment vertical="center"/>
      <protection/>
    </xf>
    <xf numFmtId="4" fontId="9" fillId="0" borderId="0" xfId="34" applyNumberFormat="1" applyFont="1" applyFill="1" applyAlignment="1" applyProtection="1">
      <alignment vertical="center"/>
      <protection/>
    </xf>
    <xf numFmtId="0" fontId="9" fillId="0" borderId="0" xfId="34" applyFont="1" applyFill="1" applyBorder="1" applyAlignment="1" applyProtection="1">
      <alignment vertical="center"/>
      <protection/>
    </xf>
    <xf numFmtId="0" fontId="9" fillId="0" borderId="0" xfId="34" applyFont="1" applyFill="1" applyProtection="1">
      <alignment/>
      <protection/>
    </xf>
    <xf numFmtId="0" fontId="20" fillId="0" borderId="0" xfId="34" applyFont="1" applyFill="1" applyBorder="1" applyAlignment="1" applyProtection="1">
      <alignment horizontal="center" vertical="center"/>
      <protection/>
    </xf>
    <xf numFmtId="0" fontId="20" fillId="52" borderId="130" xfId="34" applyFont="1" applyFill="1" applyBorder="1">
      <alignment/>
      <protection/>
    </xf>
    <xf numFmtId="0" fontId="9" fillId="52" borderId="131" xfId="34" applyFont="1" applyFill="1" applyBorder="1">
      <alignment/>
      <protection/>
    </xf>
    <xf numFmtId="0" fontId="9" fillId="52" borderId="132" xfId="34" applyFont="1" applyFill="1" applyBorder="1">
      <alignment/>
      <protection/>
    </xf>
    <xf numFmtId="0" fontId="9" fillId="38" borderId="0" xfId="34" applyFont="1" applyFill="1" applyBorder="1">
      <alignment/>
      <protection/>
    </xf>
    <xf numFmtId="168" fontId="23" fillId="26" borderId="0" xfId="34" applyNumberFormat="1" applyFont="1" applyFill="1" applyBorder="1" applyAlignment="1">
      <alignment horizontal="left"/>
      <protection/>
    </xf>
    <xf numFmtId="168" fontId="25" fillId="44" borderId="0" xfId="34" applyNumberFormat="1" applyFont="1" applyFill="1" applyBorder="1" applyAlignment="1">
      <alignment horizontal="center"/>
      <protection/>
    </xf>
    <xf numFmtId="171" fontId="25" fillId="44" borderId="0" xfId="34" applyNumberFormat="1" applyFont="1" applyFill="1" applyBorder="1" applyAlignment="1">
      <alignment horizontal="center"/>
      <protection/>
    </xf>
    <xf numFmtId="168" fontId="23" fillId="33" borderId="0" xfId="34" applyNumberFormat="1" applyFont="1" applyFill="1" applyBorder="1" applyAlignment="1">
      <alignment/>
      <protection/>
    </xf>
    <xf numFmtId="0" fontId="9" fillId="33" borderId="0" xfId="34" applyFont="1" applyFill="1">
      <alignment/>
      <protection/>
    </xf>
    <xf numFmtId="171" fontId="23" fillId="44" borderId="0" xfId="34" applyNumberFormat="1" applyFont="1" applyFill="1" applyBorder="1" applyAlignment="1">
      <alignment horizontal="center"/>
      <protection/>
    </xf>
    <xf numFmtId="171" fontId="9" fillId="33" borderId="0" xfId="34" applyNumberFormat="1" applyFont="1" applyFill="1" applyBorder="1" applyAlignment="1">
      <alignment/>
      <protection/>
    </xf>
    <xf numFmtId="0" fontId="9" fillId="38" borderId="0" xfId="34" applyFont="1" applyFill="1" applyBorder="1" quotePrefix="1">
      <alignment/>
      <protection/>
    </xf>
    <xf numFmtId="187" fontId="9" fillId="33" borderId="0" xfId="35" applyNumberFormat="1" applyFont="1" applyFill="1" applyBorder="1" applyAlignment="1">
      <alignment horizontal="left"/>
      <protection/>
    </xf>
    <xf numFmtId="0" fontId="9" fillId="26" borderId="67" xfId="34" applyFont="1" applyFill="1" applyBorder="1" quotePrefix="1">
      <alignment/>
      <protection/>
    </xf>
    <xf numFmtId="0" fontId="9" fillId="26" borderId="19" xfId="34" applyFont="1" applyFill="1" applyBorder="1" quotePrefix="1">
      <alignment/>
      <protection/>
    </xf>
    <xf numFmtId="0" fontId="9" fillId="26" borderId="17" xfId="34" applyFont="1" applyFill="1" applyBorder="1" quotePrefix="1">
      <alignment/>
      <protection/>
    </xf>
    <xf numFmtId="0" fontId="9" fillId="26" borderId="0" xfId="34" applyFont="1" applyFill="1" applyBorder="1" quotePrefix="1">
      <alignment/>
      <protection/>
    </xf>
    <xf numFmtId="0" fontId="9" fillId="26" borderId="25" xfId="34" applyFont="1" applyFill="1" applyBorder="1" quotePrefix="1">
      <alignment/>
      <protection/>
    </xf>
    <xf numFmtId="0" fontId="9" fillId="26" borderId="20" xfId="34" applyFont="1" applyFill="1" applyBorder="1" quotePrefix="1">
      <alignment/>
      <protection/>
    </xf>
    <xf numFmtId="0" fontId="9" fillId="44" borderId="67" xfId="34" applyFont="1" applyFill="1" applyBorder="1" quotePrefix="1">
      <alignment/>
      <protection/>
    </xf>
    <xf numFmtId="0" fontId="9" fillId="44" borderId="19" xfId="34" applyFont="1" applyFill="1" applyBorder="1" quotePrefix="1">
      <alignment/>
      <protection/>
    </xf>
    <xf numFmtId="0" fontId="9" fillId="44" borderId="17" xfId="34" applyFont="1" applyFill="1" applyBorder="1" quotePrefix="1">
      <alignment/>
      <protection/>
    </xf>
    <xf numFmtId="0" fontId="9" fillId="44" borderId="0" xfId="34" applyFont="1" applyFill="1" applyBorder="1" quotePrefix="1">
      <alignment/>
      <protection/>
    </xf>
    <xf numFmtId="0" fontId="9" fillId="44" borderId="25" xfId="34" applyFont="1" applyFill="1" applyBorder="1" quotePrefix="1">
      <alignment/>
      <protection/>
    </xf>
    <xf numFmtId="0" fontId="9" fillId="44" borderId="20" xfId="34" applyFont="1" applyFill="1" applyBorder="1" quotePrefix="1">
      <alignment/>
      <protection/>
    </xf>
    <xf numFmtId="187" fontId="9" fillId="33" borderId="0" xfId="35" applyNumberFormat="1" applyFont="1" applyFill="1" applyBorder="1" applyAlignment="1">
      <alignment/>
      <protection/>
    </xf>
    <xf numFmtId="0" fontId="20" fillId="26" borderId="67" xfId="34" applyFont="1" applyFill="1" applyBorder="1">
      <alignment/>
      <protection/>
    </xf>
    <xf numFmtId="170" fontId="19" fillId="26" borderId="68" xfId="34" applyNumberFormat="1" applyFont="1" applyFill="1" applyBorder="1" applyAlignment="1">
      <alignment horizontal="center"/>
      <protection/>
    </xf>
    <xf numFmtId="170" fontId="19" fillId="33" borderId="0" xfId="34" applyNumberFormat="1" applyFont="1" applyFill="1" applyBorder="1" applyAlignment="1">
      <alignment horizontal="center"/>
      <protection/>
    </xf>
    <xf numFmtId="0" fontId="20" fillId="26" borderId="25" xfId="34" applyFont="1" applyFill="1" applyBorder="1">
      <alignment/>
      <protection/>
    </xf>
    <xf numFmtId="169" fontId="23" fillId="33" borderId="0" xfId="34" applyNumberFormat="1" applyFont="1" applyFill="1" applyBorder="1" applyAlignment="1">
      <alignment/>
      <protection/>
    </xf>
    <xf numFmtId="170" fontId="23" fillId="38" borderId="0" xfId="34" applyNumberFormat="1" applyFont="1" applyFill="1" applyBorder="1" applyAlignment="1">
      <alignment/>
      <protection/>
    </xf>
    <xf numFmtId="202" fontId="23" fillId="33" borderId="0" xfId="35" applyNumberFormat="1" applyFont="1" applyFill="1" applyBorder="1" applyAlignment="1">
      <alignment/>
      <protection/>
    </xf>
    <xf numFmtId="0" fontId="9" fillId="26" borderId="67" xfId="34" applyFont="1" applyFill="1" applyBorder="1">
      <alignment/>
      <protection/>
    </xf>
    <xf numFmtId="171" fontId="9" fillId="26" borderId="19" xfId="34" applyNumberFormat="1" applyFont="1" applyFill="1" applyBorder="1" applyAlignment="1">
      <alignment horizontal="left"/>
      <protection/>
    </xf>
    <xf numFmtId="171" fontId="9" fillId="26" borderId="68" xfId="34" applyNumberFormat="1" applyFont="1" applyFill="1" applyBorder="1" applyAlignment="1">
      <alignment horizontal="left"/>
      <protection/>
    </xf>
    <xf numFmtId="0" fontId="9" fillId="26" borderId="17" xfId="34" applyFont="1" applyFill="1" applyBorder="1">
      <alignment/>
      <protection/>
    </xf>
    <xf numFmtId="168" fontId="23" fillId="26" borderId="0" xfId="34" applyNumberFormat="1" applyFont="1" applyFill="1" applyBorder="1" applyAlignment="1">
      <alignment horizontal="center"/>
      <protection/>
    </xf>
    <xf numFmtId="0" fontId="9" fillId="26" borderId="18" xfId="34" applyFont="1" applyFill="1" applyBorder="1">
      <alignment/>
      <protection/>
    </xf>
    <xf numFmtId="169" fontId="23" fillId="26" borderId="0" xfId="34" applyNumberFormat="1" applyFont="1" applyFill="1" applyBorder="1">
      <alignment/>
      <protection/>
    </xf>
    <xf numFmtId="0" fontId="9" fillId="26" borderId="25" xfId="34" applyFont="1" applyFill="1" applyBorder="1">
      <alignment/>
      <protection/>
    </xf>
    <xf numFmtId="169" fontId="23" fillId="26" borderId="20" xfId="34" applyNumberFormat="1" applyFont="1" applyFill="1" applyBorder="1">
      <alignment/>
      <protection/>
    </xf>
    <xf numFmtId="168" fontId="23" fillId="26" borderId="20" xfId="34" applyNumberFormat="1" applyFont="1" applyFill="1" applyBorder="1" applyAlignment="1">
      <alignment horizontal="left"/>
      <protection/>
    </xf>
    <xf numFmtId="176" fontId="4" fillId="38" borderId="71" xfId="38" applyNumberFormat="1" applyFont="1" applyFill="1" applyBorder="1" applyAlignment="1" applyProtection="1">
      <alignment/>
      <protection locked="0"/>
    </xf>
    <xf numFmtId="176" fontId="4" fillId="38" borderId="73" xfId="38" applyNumberFormat="1" applyFont="1" applyFill="1" applyBorder="1" applyAlignment="1" applyProtection="1">
      <alignment/>
      <protection locked="0"/>
    </xf>
    <xf numFmtId="176" fontId="4" fillId="38" borderId="72" xfId="38" applyNumberFormat="1" applyFont="1" applyFill="1" applyBorder="1" applyAlignment="1" applyProtection="1">
      <alignment/>
      <protection locked="0"/>
    </xf>
    <xf numFmtId="176" fontId="4" fillId="43" borderId="10" xfId="38" applyNumberFormat="1" applyFont="1" applyFill="1" applyBorder="1" applyAlignment="1" applyProtection="1">
      <alignment/>
      <protection locked="0"/>
    </xf>
    <xf numFmtId="176" fontId="12" fillId="38" borderId="74" xfId="38" applyNumberFormat="1" applyFont="1" applyFill="1" applyBorder="1" applyAlignment="1" applyProtection="1">
      <alignment/>
      <protection locked="0"/>
    </xf>
    <xf numFmtId="176" fontId="12" fillId="38" borderId="72" xfId="38" applyNumberFormat="1" applyFont="1" applyFill="1" applyBorder="1" applyAlignment="1" applyProtection="1">
      <alignment/>
      <protection locked="0"/>
    </xf>
    <xf numFmtId="176" fontId="4" fillId="38" borderId="70" xfId="38" applyNumberFormat="1" applyFont="1" applyFill="1" applyBorder="1" applyAlignment="1" applyProtection="1">
      <alignment/>
      <protection locked="0"/>
    </xf>
    <xf numFmtId="192" fontId="23" fillId="33" borderId="0" xfId="34" applyNumberFormat="1" applyFont="1" applyFill="1" applyBorder="1" applyAlignment="1">
      <alignment horizontal="center"/>
      <protection/>
    </xf>
    <xf numFmtId="194" fontId="57" fillId="26" borderId="19" xfId="35" applyNumberFormat="1" applyFont="1" applyFill="1" applyBorder="1" applyAlignment="1">
      <alignment horizontal="center"/>
      <protection/>
    </xf>
    <xf numFmtId="171" fontId="23" fillId="26" borderId="0" xfId="34" applyNumberFormat="1" applyFont="1" applyFill="1" applyBorder="1" applyAlignment="1">
      <alignment horizontal="center"/>
      <protection/>
    </xf>
    <xf numFmtId="169" fontId="23" fillId="33" borderId="0" xfId="34" applyNumberFormat="1" applyFont="1" applyFill="1" applyBorder="1" applyAlignment="1">
      <alignment horizontal="center"/>
      <protection/>
    </xf>
    <xf numFmtId="190" fontId="57" fillId="44" borderId="0" xfId="35" applyNumberFormat="1" applyFont="1" applyFill="1" applyBorder="1" applyAlignment="1">
      <alignment horizontal="center"/>
      <protection/>
    </xf>
    <xf numFmtId="195" fontId="57" fillId="26" borderId="0" xfId="35" applyNumberFormat="1" applyFont="1" applyFill="1" applyBorder="1" applyAlignment="1">
      <alignment horizontal="center"/>
      <protection/>
    </xf>
    <xf numFmtId="196" fontId="57" fillId="26" borderId="20" xfId="35" applyNumberFormat="1" applyFont="1" applyFill="1" applyBorder="1" applyAlignment="1">
      <alignment horizontal="center"/>
      <protection/>
    </xf>
    <xf numFmtId="187" fontId="23" fillId="33" borderId="0" xfId="35" applyNumberFormat="1" applyFont="1" applyFill="1" applyBorder="1" applyAlignment="1">
      <alignment horizontal="center"/>
      <protection/>
    </xf>
    <xf numFmtId="187" fontId="23" fillId="44" borderId="0" xfId="35" applyNumberFormat="1" applyFont="1" applyFill="1" applyBorder="1" applyAlignment="1">
      <alignment horizontal="center"/>
      <protection/>
    </xf>
    <xf numFmtId="169" fontId="23" fillId="33" borderId="0" xfId="34" applyNumberFormat="1" applyFont="1" applyFill="1" applyBorder="1" applyAlignment="1">
      <alignment horizontal="left"/>
      <protection/>
    </xf>
    <xf numFmtId="195" fontId="57" fillId="44" borderId="0" xfId="35" applyNumberFormat="1" applyFont="1" applyFill="1" applyBorder="1" applyAlignment="1">
      <alignment horizontal="center"/>
      <protection/>
    </xf>
    <xf numFmtId="196" fontId="57" fillId="44" borderId="20" xfId="35" applyNumberFormat="1" applyFont="1" applyFill="1" applyBorder="1" applyAlignment="1">
      <alignment horizontal="center"/>
      <protection/>
    </xf>
    <xf numFmtId="194" fontId="57" fillId="44" borderId="19" xfId="35" applyNumberFormat="1" applyFont="1" applyFill="1" applyBorder="1" applyAlignment="1">
      <alignment horizontal="center"/>
      <protection/>
    </xf>
    <xf numFmtId="169" fontId="23" fillId="33" borderId="0" xfId="34" applyNumberFormat="1" applyFont="1" applyFill="1" applyBorder="1" applyAlignment="1">
      <alignment horizontal="left"/>
      <protection/>
    </xf>
    <xf numFmtId="202" fontId="23" fillId="33" borderId="0" xfId="35" applyNumberFormat="1" applyFont="1" applyFill="1" applyBorder="1" applyAlignment="1">
      <alignment horizontal="center"/>
      <protection/>
    </xf>
    <xf numFmtId="171" fontId="23" fillId="44" borderId="0" xfId="34" applyNumberFormat="1" applyFont="1" applyFill="1" applyBorder="1" applyAlignment="1">
      <alignment horizontal="center"/>
      <protection/>
    </xf>
    <xf numFmtId="187" fontId="23" fillId="26" borderId="0" xfId="35" applyNumberFormat="1" applyFont="1" applyFill="1" applyBorder="1" applyAlignment="1">
      <alignment horizontal="center"/>
      <protection/>
    </xf>
    <xf numFmtId="189" fontId="57" fillId="44" borderId="19" xfId="35" applyNumberFormat="1" applyFont="1" applyFill="1" applyBorder="1" applyAlignment="1">
      <alignment horizontal="center"/>
      <protection/>
    </xf>
    <xf numFmtId="191" fontId="57" fillId="26" borderId="20" xfId="35" applyNumberFormat="1" applyFont="1" applyFill="1" applyBorder="1" applyAlignment="1">
      <alignment horizontal="center"/>
      <protection/>
    </xf>
    <xf numFmtId="185" fontId="8" fillId="52" borderId="131" xfId="35" applyNumberFormat="1" applyFont="1" applyFill="1" applyBorder="1" applyAlignment="1">
      <alignment horizontal="center"/>
      <protection/>
    </xf>
    <xf numFmtId="171" fontId="23" fillId="33" borderId="0" xfId="34" applyNumberFormat="1" applyFont="1" applyFill="1" applyBorder="1" applyAlignment="1">
      <alignment horizontal="center"/>
      <protection/>
    </xf>
    <xf numFmtId="169" fontId="23" fillId="44" borderId="0" xfId="34" applyNumberFormat="1" applyFont="1" applyFill="1" applyBorder="1" applyAlignment="1">
      <alignment horizontal="center"/>
      <protection/>
    </xf>
    <xf numFmtId="170" fontId="23" fillId="38" borderId="0" xfId="34" applyNumberFormat="1" applyFont="1" applyFill="1" applyBorder="1" applyAlignment="1">
      <alignment horizontal="left"/>
      <protection/>
    </xf>
    <xf numFmtId="191" fontId="57" fillId="44" borderId="20" xfId="35" applyNumberFormat="1" applyFont="1" applyFill="1" applyBorder="1" applyAlignment="1">
      <alignment horizontal="center"/>
      <protection/>
    </xf>
    <xf numFmtId="189" fontId="57" fillId="26" borderId="19" xfId="35" applyNumberFormat="1" applyFont="1" applyFill="1" applyBorder="1" applyAlignment="1">
      <alignment horizontal="center"/>
      <protection/>
    </xf>
    <xf numFmtId="190" fontId="57" fillId="26" borderId="0" xfId="35" applyNumberFormat="1" applyFont="1" applyFill="1" applyBorder="1" applyAlignment="1">
      <alignment horizontal="center"/>
      <protection/>
    </xf>
    <xf numFmtId="168" fontId="23" fillId="26" borderId="0" xfId="34" applyNumberFormat="1" applyFont="1" applyFill="1" applyBorder="1" applyAlignment="1">
      <alignment horizontal="center"/>
      <protection/>
    </xf>
    <xf numFmtId="170" fontId="23" fillId="26" borderId="19" xfId="34" applyNumberFormat="1" applyFont="1" applyFill="1" applyBorder="1" applyAlignment="1">
      <alignment horizontal="center"/>
      <protection/>
    </xf>
    <xf numFmtId="169" fontId="8" fillId="33" borderId="0" xfId="34" applyNumberFormat="1" applyFont="1" applyFill="1" applyBorder="1" applyAlignment="1">
      <alignment horizontal="left"/>
      <protection/>
    </xf>
    <xf numFmtId="170" fontId="20" fillId="33" borderId="0" xfId="34" applyNumberFormat="1" applyFont="1" applyFill="1" applyBorder="1" applyAlignment="1">
      <alignment horizontal="left"/>
      <protection/>
    </xf>
    <xf numFmtId="169" fontId="23" fillId="33" borderId="0" xfId="34" applyNumberFormat="1" applyFont="1" applyFill="1" applyBorder="1" applyAlignment="1">
      <alignment horizontal="center"/>
      <protection/>
    </xf>
    <xf numFmtId="170" fontId="23" fillId="38" borderId="0" xfId="34" applyNumberFormat="1" applyFont="1" applyFill="1" applyBorder="1" applyAlignment="1">
      <alignment horizontal="center"/>
      <protection/>
    </xf>
    <xf numFmtId="0" fontId="185" fillId="55" borderId="0" xfId="41" applyFont="1" applyFill="1" applyBorder="1" applyAlignment="1">
      <alignment horizontal="center"/>
      <protection/>
    </xf>
    <xf numFmtId="200" fontId="186" fillId="55" borderId="0" xfId="41" applyNumberFormat="1" applyFont="1" applyFill="1" applyBorder="1" applyAlignment="1">
      <alignment horizontal="center"/>
      <protection/>
    </xf>
    <xf numFmtId="202" fontId="23" fillId="33" borderId="0" xfId="35" applyNumberFormat="1" applyFont="1" applyFill="1" applyBorder="1" applyAlignment="1">
      <alignment horizontal="left"/>
      <protection/>
    </xf>
    <xf numFmtId="198" fontId="187" fillId="47" borderId="42" xfId="43" applyNumberFormat="1" applyFont="1" applyFill="1" applyBorder="1" applyAlignment="1" applyProtection="1">
      <alignment horizontal="left"/>
      <protection/>
    </xf>
    <xf numFmtId="198" fontId="187" fillId="47" borderId="28" xfId="43" applyNumberFormat="1" applyFont="1" applyFill="1" applyBorder="1" applyAlignment="1" applyProtection="1">
      <alignment horizontal="left"/>
      <protection/>
    </xf>
    <xf numFmtId="0" fontId="186" fillId="55" borderId="0" xfId="34" applyFont="1" applyFill="1" applyAlignment="1" applyProtection="1" quotePrefix="1">
      <alignment horizontal="center"/>
      <protection/>
    </xf>
    <xf numFmtId="201" fontId="186" fillId="55" borderId="0" xfId="34" applyNumberFormat="1" applyFont="1" applyFill="1" applyAlignment="1" applyProtection="1" quotePrefix="1">
      <alignment horizontal="center"/>
      <protection/>
    </xf>
    <xf numFmtId="38" fontId="9" fillId="33" borderId="61" xfId="43" applyNumberFormat="1" applyFont="1" applyFill="1" applyBorder="1" applyAlignment="1" applyProtection="1">
      <alignment horizontal="center" wrapText="1"/>
      <protection/>
    </xf>
    <xf numFmtId="38" fontId="9" fillId="33" borderId="44" xfId="43" applyNumberFormat="1" applyFont="1" applyFill="1" applyBorder="1" applyAlignment="1" applyProtection="1">
      <alignment horizontal="center"/>
      <protection/>
    </xf>
    <xf numFmtId="38" fontId="9" fillId="33" borderId="45" xfId="43" applyNumberFormat="1" applyFont="1" applyFill="1" applyBorder="1" applyAlignment="1" applyProtection="1">
      <alignment horizontal="center"/>
      <protection/>
    </xf>
    <xf numFmtId="38" fontId="9" fillId="33" borderId="58" xfId="43" applyNumberFormat="1" applyFont="1" applyFill="1" applyBorder="1" applyAlignment="1" applyProtection="1">
      <alignment horizontal="center" wrapText="1"/>
      <protection/>
    </xf>
    <xf numFmtId="38" fontId="188" fillId="33" borderId="46" xfId="43" applyNumberFormat="1" applyFont="1" applyFill="1" applyBorder="1" applyAlignment="1" applyProtection="1">
      <alignment horizontal="center"/>
      <protection/>
    </xf>
    <xf numFmtId="38" fontId="188" fillId="33" borderId="47" xfId="43" applyNumberFormat="1" applyFont="1" applyFill="1" applyBorder="1" applyAlignment="1" applyProtection="1">
      <alignment horizontal="center"/>
      <protection/>
    </xf>
    <xf numFmtId="38" fontId="9" fillId="33" borderId="59" xfId="43" applyNumberFormat="1" applyFont="1" applyFill="1" applyBorder="1" applyAlignment="1" applyProtection="1">
      <alignment horizontal="center" wrapText="1"/>
      <protection/>
    </xf>
    <xf numFmtId="38" fontId="188" fillId="33" borderId="48" xfId="43" applyNumberFormat="1" applyFont="1" applyFill="1" applyBorder="1" applyAlignment="1" applyProtection="1">
      <alignment horizontal="center"/>
      <protection/>
    </xf>
    <xf numFmtId="38" fontId="188" fillId="33" borderId="49" xfId="43" applyNumberFormat="1" applyFont="1" applyFill="1" applyBorder="1" applyAlignment="1" applyProtection="1">
      <alignment horizontal="center"/>
      <protection/>
    </xf>
    <xf numFmtId="0" fontId="4" fillId="33" borderId="65" xfId="37" applyFont="1" applyFill="1" applyBorder="1" applyAlignment="1" applyProtection="1">
      <alignment horizontal="center"/>
      <protection/>
    </xf>
    <xf numFmtId="0" fontId="4" fillId="33" borderId="37" xfId="37" applyFont="1" applyFill="1" applyBorder="1" applyAlignment="1" applyProtection="1">
      <alignment horizontal="center"/>
      <protection/>
    </xf>
    <xf numFmtId="0" fontId="4" fillId="33" borderId="38" xfId="37" applyFont="1" applyFill="1" applyBorder="1" applyAlignment="1" applyProtection="1">
      <alignment horizontal="center"/>
      <protection/>
    </xf>
    <xf numFmtId="0" fontId="4" fillId="33" borderId="121" xfId="37" applyFont="1" applyFill="1" applyBorder="1" applyAlignment="1" applyProtection="1">
      <alignment horizontal="center"/>
      <protection/>
    </xf>
    <xf numFmtId="0" fontId="4" fillId="33" borderId="122" xfId="37" applyFont="1" applyFill="1" applyBorder="1" applyAlignment="1" applyProtection="1">
      <alignment horizontal="center"/>
      <protection/>
    </xf>
    <xf numFmtId="0" fontId="4" fillId="33" borderId="123" xfId="37" applyFont="1" applyFill="1" applyBorder="1" applyAlignment="1" applyProtection="1">
      <alignment horizontal="center"/>
      <protection/>
    </xf>
    <xf numFmtId="1" fontId="52" fillId="33" borderId="27" xfId="0" applyNumberFormat="1" applyFont="1" applyFill="1" applyBorder="1" applyAlignment="1" applyProtection="1">
      <alignment horizontal="center"/>
      <protection locked="0"/>
    </xf>
    <xf numFmtId="1" fontId="52" fillId="33" borderId="42" xfId="0" applyNumberFormat="1" applyFont="1" applyFill="1" applyBorder="1" applyAlignment="1" applyProtection="1">
      <alignment horizontal="center"/>
      <protection locked="0"/>
    </xf>
    <xf numFmtId="1" fontId="52" fillId="33" borderId="28" xfId="0" applyNumberFormat="1" applyFont="1" applyFill="1" applyBorder="1" applyAlignment="1" applyProtection="1">
      <alignment horizontal="center"/>
      <protection locked="0"/>
    </xf>
    <xf numFmtId="179" fontId="150" fillId="33" borderId="27" xfId="40" applyNumberFormat="1" applyFont="1" applyFill="1" applyBorder="1" applyAlignment="1" applyProtection="1" quotePrefix="1">
      <alignment horizontal="center" vertical="center"/>
      <protection locked="0"/>
    </xf>
    <xf numFmtId="179" fontId="150" fillId="33" borderId="28" xfId="40" applyNumberFormat="1" applyFont="1" applyFill="1" applyBorder="1" applyAlignment="1" applyProtection="1" quotePrefix="1">
      <alignment horizontal="center" vertical="center"/>
      <protection locked="0"/>
    </xf>
    <xf numFmtId="0" fontId="149" fillId="36" borderId="27" xfId="73" applyFill="1" applyBorder="1" applyAlignment="1" applyProtection="1">
      <alignment horizontal="center" vertical="center"/>
      <protection locked="0"/>
    </xf>
    <xf numFmtId="0" fontId="189" fillId="36" borderId="42" xfId="73" applyFont="1" applyFill="1" applyBorder="1" applyAlignment="1" applyProtection="1">
      <alignment horizontal="center" vertical="center"/>
      <protection locked="0"/>
    </xf>
    <xf numFmtId="0" fontId="189" fillId="36" borderId="28" xfId="73" applyFont="1" applyFill="1" applyBorder="1" applyAlignment="1" applyProtection="1">
      <alignment horizontal="center" vertical="center"/>
      <protection locked="0"/>
    </xf>
    <xf numFmtId="38" fontId="149" fillId="33" borderId="27" xfId="73" applyNumberFormat="1" applyFill="1" applyBorder="1" applyAlignment="1" applyProtection="1">
      <alignment horizontal="center" vertical="center"/>
      <protection locked="0"/>
    </xf>
    <xf numFmtId="38" fontId="190" fillId="33" borderId="42" xfId="73" applyNumberFormat="1" applyFont="1" applyFill="1" applyBorder="1" applyAlignment="1" applyProtection="1">
      <alignment horizontal="center" vertical="center"/>
      <protection locked="0"/>
    </xf>
    <xf numFmtId="38" fontId="190" fillId="33" borderId="28" xfId="73" applyNumberFormat="1" applyFont="1" applyFill="1" applyBorder="1" applyAlignment="1" applyProtection="1">
      <alignment horizontal="center" vertical="center"/>
      <protection locked="0"/>
    </xf>
    <xf numFmtId="0" fontId="191" fillId="26" borderId="0" xfId="37" applyFont="1" applyFill="1" applyBorder="1" applyAlignment="1" applyProtection="1">
      <alignment horizontal="center"/>
      <protection/>
    </xf>
    <xf numFmtId="177" fontId="156" fillId="33" borderId="27" xfId="37" applyNumberFormat="1" applyFont="1" applyFill="1" applyBorder="1" applyAlignment="1" applyProtection="1">
      <alignment horizontal="center"/>
      <protection/>
    </xf>
    <xf numFmtId="177" fontId="156" fillId="33" borderId="42" xfId="37" applyNumberFormat="1" applyFont="1" applyFill="1" applyBorder="1" applyAlignment="1" applyProtection="1">
      <alignment horizontal="center"/>
      <protection/>
    </xf>
    <xf numFmtId="177" fontId="156" fillId="33" borderId="28" xfId="37" applyNumberFormat="1" applyFont="1" applyFill="1" applyBorder="1" applyAlignment="1" applyProtection="1">
      <alignment horizontal="center"/>
      <protection/>
    </xf>
    <xf numFmtId="0" fontId="54" fillId="49" borderId="133" xfId="42" applyFont="1" applyFill="1" applyBorder="1" applyAlignment="1" applyProtection="1" quotePrefix="1">
      <alignment horizontal="center" wrapText="1"/>
      <protection locked="0"/>
    </xf>
    <xf numFmtId="0" fontId="54" fillId="49" borderId="52" xfId="42" applyFont="1" applyFill="1" applyBorder="1" applyAlignment="1" applyProtection="1">
      <alignment horizontal="center" wrapText="1"/>
      <protection locked="0"/>
    </xf>
    <xf numFmtId="0" fontId="54" fillId="49" borderId="134" xfId="42" applyFont="1" applyFill="1" applyBorder="1" applyAlignment="1" applyProtection="1">
      <alignment horizontal="center" wrapText="1"/>
      <protection locked="0"/>
    </xf>
    <xf numFmtId="0" fontId="192" fillId="26" borderId="44" xfId="34" applyFont="1" applyFill="1" applyBorder="1" applyAlignment="1" applyProtection="1" quotePrefix="1">
      <alignment horizontal="center"/>
      <protection/>
    </xf>
    <xf numFmtId="0" fontId="193" fillId="38" borderId="25" xfId="42" applyFont="1" applyFill="1" applyBorder="1" applyAlignment="1" applyProtection="1">
      <alignment horizontal="center" vertical="center" wrapText="1"/>
      <protection locked="0"/>
    </xf>
    <xf numFmtId="0" fontId="193" fillId="38" borderId="20" xfId="42" applyFont="1" applyFill="1" applyBorder="1" applyAlignment="1" applyProtection="1">
      <alignment horizontal="center" vertical="center" wrapText="1"/>
      <protection locked="0"/>
    </xf>
    <xf numFmtId="0" fontId="193" fillId="38" borderId="21" xfId="42" applyFont="1" applyFill="1" applyBorder="1" applyAlignment="1" applyProtection="1">
      <alignment horizontal="center" vertical="center" wrapText="1"/>
      <protection locked="0"/>
    </xf>
    <xf numFmtId="0" fontId="194" fillId="33" borderId="60" xfId="39" applyFont="1" applyFill="1" applyBorder="1" applyAlignment="1" applyProtection="1">
      <alignment horizontal="center"/>
      <protection/>
    </xf>
    <xf numFmtId="0" fontId="194" fillId="33" borderId="0" xfId="39" applyFont="1" applyFill="1" applyBorder="1" applyAlignment="1" applyProtection="1">
      <alignment horizontal="center"/>
      <protection/>
    </xf>
    <xf numFmtId="0" fontId="194" fillId="33" borderId="29" xfId="39" applyFont="1" applyFill="1" applyBorder="1" applyAlignment="1" applyProtection="1">
      <alignment horizontal="center"/>
      <protection/>
    </xf>
    <xf numFmtId="0" fontId="165" fillId="47" borderId="115" xfId="39" applyFont="1" applyFill="1" applyBorder="1" applyAlignment="1" applyProtection="1">
      <alignment horizontal="center"/>
      <protection/>
    </xf>
    <xf numFmtId="0" fontId="10" fillId="39" borderId="112" xfId="34" applyFont="1" applyFill="1" applyBorder="1" applyAlignment="1" applyProtection="1">
      <alignment horizontal="center" vertical="center"/>
      <protection/>
    </xf>
    <xf numFmtId="0" fontId="10" fillId="39" borderId="113" xfId="34" applyFont="1" applyFill="1" applyBorder="1" applyAlignment="1" applyProtection="1">
      <alignment horizontal="center" vertical="center"/>
      <protection/>
    </xf>
    <xf numFmtId="0" fontId="10" fillId="39" borderId="114" xfId="34" applyFont="1" applyFill="1" applyBorder="1" applyAlignment="1" applyProtection="1">
      <alignment horizontal="center" vertical="center"/>
      <protection/>
    </xf>
    <xf numFmtId="0" fontId="10" fillId="33" borderId="41" xfId="37" applyFont="1" applyFill="1" applyBorder="1" applyAlignment="1" applyProtection="1">
      <alignment horizontal="center" vertical="center" wrapText="1"/>
      <protection/>
    </xf>
    <xf numFmtId="0" fontId="10" fillId="33" borderId="42" xfId="37" applyFont="1" applyFill="1" applyBorder="1" applyAlignment="1" applyProtection="1">
      <alignment horizontal="center" vertical="center" wrapText="1"/>
      <protection/>
    </xf>
    <xf numFmtId="0" fontId="10" fillId="33" borderId="43" xfId="37" applyFont="1" applyFill="1" applyBorder="1" applyAlignment="1" applyProtection="1">
      <alignment horizontal="center" vertical="center" wrapText="1"/>
      <protection/>
    </xf>
    <xf numFmtId="38" fontId="9" fillId="33" borderId="61" xfId="43" applyNumberFormat="1" applyFont="1" applyFill="1" applyBorder="1" applyAlignment="1" applyProtection="1">
      <alignment horizontal="center"/>
      <protection/>
    </xf>
    <xf numFmtId="38" fontId="9" fillId="33" borderId="44" xfId="43" applyNumberFormat="1" applyFont="1" applyFill="1" applyBorder="1" applyAlignment="1" applyProtection="1">
      <alignment horizontal="center"/>
      <protection/>
    </xf>
    <xf numFmtId="38" fontId="9" fillId="33" borderId="45" xfId="43" applyNumberFormat="1" applyFont="1" applyFill="1" applyBorder="1" applyAlignment="1" applyProtection="1">
      <alignment horizontal="center"/>
      <protection/>
    </xf>
    <xf numFmtId="0" fontId="16" fillId="49" borderId="17" xfId="42" applyFont="1" applyFill="1" applyBorder="1" applyAlignment="1" applyProtection="1">
      <alignment horizontal="center" vertical="top"/>
      <protection/>
    </xf>
    <xf numFmtId="0" fontId="16" fillId="49" borderId="0" xfId="42" applyFont="1" applyFill="1" applyBorder="1" applyAlignment="1" applyProtection="1">
      <alignment horizontal="center" vertical="top"/>
      <protection/>
    </xf>
    <xf numFmtId="0" fontId="16" fillId="49" borderId="18" xfId="42" applyFont="1" applyFill="1" applyBorder="1" applyAlignment="1" applyProtection="1">
      <alignment horizontal="center" vertical="top"/>
      <protection/>
    </xf>
    <xf numFmtId="177" fontId="195" fillId="26" borderId="0" xfId="37" applyNumberFormat="1" applyFont="1" applyFill="1" applyBorder="1" applyAlignment="1" applyProtection="1">
      <alignment horizontal="center"/>
      <protection/>
    </xf>
    <xf numFmtId="0" fontId="150" fillId="26" borderId="0" xfId="34" applyFont="1" applyFill="1" applyAlignment="1" applyProtection="1" quotePrefix="1">
      <alignment horizontal="center"/>
      <protection/>
    </xf>
    <xf numFmtId="38" fontId="9" fillId="33" borderId="62" xfId="43" applyNumberFormat="1" applyFont="1" applyFill="1" applyBorder="1" applyAlignment="1" applyProtection="1">
      <alignment horizontal="center"/>
      <protection/>
    </xf>
    <xf numFmtId="38" fontId="9" fillId="33" borderId="55" xfId="43" applyNumberFormat="1" applyFont="1" applyFill="1" applyBorder="1" applyAlignment="1" applyProtection="1">
      <alignment horizontal="center"/>
      <protection/>
    </xf>
    <xf numFmtId="38" fontId="9" fillId="33" borderId="56" xfId="43" applyNumberFormat="1" applyFont="1" applyFill="1" applyBorder="1" applyAlignment="1" applyProtection="1">
      <alignment horizontal="center"/>
      <protection/>
    </xf>
    <xf numFmtId="38" fontId="9" fillId="33" borderId="58" xfId="43" applyNumberFormat="1" applyFont="1" applyFill="1" applyBorder="1" applyAlignment="1" applyProtection="1">
      <alignment horizontal="center"/>
      <protection/>
    </xf>
    <xf numFmtId="38" fontId="9" fillId="33" borderId="46" xfId="43" applyNumberFormat="1" applyFont="1" applyFill="1" applyBorder="1" applyAlignment="1" applyProtection="1">
      <alignment horizontal="center"/>
      <protection/>
    </xf>
    <xf numFmtId="38" fontId="9" fillId="33" borderId="47" xfId="43" applyNumberFormat="1" applyFont="1" applyFill="1" applyBorder="1" applyAlignment="1" applyProtection="1">
      <alignment horizontal="center"/>
      <protection/>
    </xf>
    <xf numFmtId="38" fontId="23" fillId="54" borderId="41" xfId="43" applyNumberFormat="1" applyFont="1" applyFill="1" applyBorder="1" applyAlignment="1" applyProtection="1">
      <alignment horizontal="center"/>
      <protection/>
    </xf>
    <xf numFmtId="38" fontId="23" fillId="54" borderId="42" xfId="43" applyNumberFormat="1" applyFont="1" applyFill="1" applyBorder="1" applyAlignment="1" applyProtection="1">
      <alignment horizontal="center"/>
      <protection/>
    </xf>
    <xf numFmtId="38" fontId="23" fillId="54" borderId="43" xfId="43" applyNumberFormat="1" applyFont="1" applyFill="1" applyBorder="1" applyAlignment="1" applyProtection="1">
      <alignment horizontal="center"/>
      <protection/>
    </xf>
    <xf numFmtId="38" fontId="9" fillId="33" borderId="59" xfId="43" applyNumberFormat="1" applyFont="1" applyFill="1" applyBorder="1" applyAlignment="1" applyProtection="1">
      <alignment horizontal="center"/>
      <protection/>
    </xf>
    <xf numFmtId="38" fontId="9" fillId="33" borderId="48" xfId="43" applyNumberFormat="1" applyFont="1" applyFill="1" applyBorder="1" applyAlignment="1" applyProtection="1">
      <alignment horizontal="center"/>
      <protection/>
    </xf>
    <xf numFmtId="38" fontId="9" fillId="33" borderId="49" xfId="43" applyNumberFormat="1" applyFont="1" applyFill="1" applyBorder="1" applyAlignment="1" applyProtection="1">
      <alignment horizontal="center"/>
      <protection/>
    </xf>
    <xf numFmtId="38" fontId="20" fillId="44" borderId="41" xfId="43" applyNumberFormat="1" applyFont="1" applyFill="1" applyBorder="1" applyAlignment="1" applyProtection="1">
      <alignment horizontal="center"/>
      <protection/>
    </xf>
    <xf numFmtId="38" fontId="20" fillId="44" borderId="42" xfId="43" applyNumberFormat="1" applyFont="1" applyFill="1" applyBorder="1" applyAlignment="1" applyProtection="1">
      <alignment horizontal="center"/>
      <protection/>
    </xf>
    <xf numFmtId="38" fontId="20" fillId="44" borderId="43" xfId="43" applyNumberFormat="1" applyFont="1" applyFill="1" applyBorder="1" applyAlignment="1" applyProtection="1">
      <alignment horizontal="center"/>
      <protection/>
    </xf>
    <xf numFmtId="38" fontId="23" fillId="42" borderId="50" xfId="43" applyNumberFormat="1" applyFont="1" applyFill="1" applyBorder="1" applyAlignment="1" applyProtection="1">
      <alignment horizontal="center"/>
      <protection/>
    </xf>
    <xf numFmtId="38" fontId="23" fillId="42" borderId="52" xfId="43" applyNumberFormat="1" applyFont="1" applyFill="1" applyBorder="1" applyAlignment="1" applyProtection="1">
      <alignment horizontal="center"/>
      <protection/>
    </xf>
    <xf numFmtId="38" fontId="23" fillId="42" borderId="53" xfId="43" applyNumberFormat="1" applyFont="1" applyFill="1" applyBorder="1" applyAlignment="1" applyProtection="1">
      <alignment horizontal="center"/>
      <protection/>
    </xf>
    <xf numFmtId="38" fontId="23" fillId="42" borderId="58" xfId="43" applyNumberFormat="1" applyFont="1" applyFill="1" applyBorder="1" applyAlignment="1" applyProtection="1">
      <alignment horizontal="center"/>
      <protection/>
    </xf>
    <xf numFmtId="38" fontId="23" fillId="42" borderId="46" xfId="43" applyNumberFormat="1" applyFont="1" applyFill="1" applyBorder="1" applyAlignment="1" applyProtection="1">
      <alignment horizontal="center"/>
      <protection/>
    </xf>
    <xf numFmtId="38" fontId="23" fillId="42" borderId="47" xfId="43" applyNumberFormat="1" applyFont="1" applyFill="1" applyBorder="1" applyAlignment="1" applyProtection="1">
      <alignment horizontal="center"/>
      <protection/>
    </xf>
    <xf numFmtId="38" fontId="23" fillId="42" borderId="59" xfId="43" applyNumberFormat="1" applyFont="1" applyFill="1" applyBorder="1" applyAlignment="1" applyProtection="1">
      <alignment horizontal="center"/>
      <protection/>
    </xf>
    <xf numFmtId="38" fontId="23" fillId="42" borderId="48" xfId="43" applyNumberFormat="1" applyFont="1" applyFill="1" applyBorder="1" applyAlignment="1" applyProtection="1">
      <alignment horizontal="center"/>
      <protection/>
    </xf>
    <xf numFmtId="38" fontId="23" fillId="42" borderId="49" xfId="43" applyNumberFormat="1" applyFont="1" applyFill="1" applyBorder="1" applyAlignment="1" applyProtection="1">
      <alignment horizontal="center"/>
      <protection/>
    </xf>
    <xf numFmtId="0" fontId="4" fillId="39" borderId="63" xfId="37" applyFont="1" applyFill="1" applyBorder="1" applyAlignment="1" applyProtection="1">
      <alignment horizontal="center"/>
      <protection/>
    </xf>
    <xf numFmtId="0" fontId="4" fillId="39" borderId="39" xfId="37" applyFont="1" applyFill="1" applyBorder="1" applyAlignment="1" applyProtection="1">
      <alignment horizontal="center"/>
      <protection/>
    </xf>
    <xf numFmtId="0" fontId="4" fillId="39" borderId="40" xfId="37" applyFont="1" applyFill="1" applyBorder="1" applyAlignment="1" applyProtection="1">
      <alignment horizontal="center"/>
      <protection/>
    </xf>
    <xf numFmtId="0" fontId="4" fillId="46" borderId="63" xfId="37" applyFont="1" applyFill="1" applyBorder="1" applyAlignment="1" applyProtection="1" quotePrefix="1">
      <alignment horizontal="center"/>
      <protection/>
    </xf>
    <xf numFmtId="0" fontId="4" fillId="46" borderId="39" xfId="37" applyFont="1" applyFill="1" applyBorder="1" applyAlignment="1" applyProtection="1" quotePrefix="1">
      <alignment horizontal="center"/>
      <protection/>
    </xf>
    <xf numFmtId="0" fontId="4" fillId="46" borderId="40" xfId="37" applyFont="1" applyFill="1" applyBorder="1" applyAlignment="1" applyProtection="1" quotePrefix="1">
      <alignment horizontal="center"/>
      <protection/>
    </xf>
    <xf numFmtId="0" fontId="4" fillId="5" borderId="63" xfId="37" applyFont="1" applyFill="1" applyBorder="1" applyAlignment="1" applyProtection="1">
      <alignment horizontal="center"/>
      <protection/>
    </xf>
    <xf numFmtId="0" fontId="4" fillId="5" borderId="39" xfId="37" applyFont="1" applyFill="1" applyBorder="1" applyAlignment="1" applyProtection="1">
      <alignment horizontal="center"/>
      <protection/>
    </xf>
    <xf numFmtId="0" fontId="4" fillId="5" borderId="40" xfId="37" applyFont="1" applyFill="1" applyBorder="1" applyAlignment="1" applyProtection="1">
      <alignment horizontal="center"/>
      <protection/>
    </xf>
    <xf numFmtId="38" fontId="9" fillId="33" borderId="59" xfId="43" applyNumberFormat="1" applyFont="1" applyFill="1" applyBorder="1" applyAlignment="1" applyProtection="1">
      <alignment horizontal="left"/>
      <protection/>
    </xf>
    <xf numFmtId="38" fontId="9" fillId="33" borderId="48" xfId="43" applyNumberFormat="1" applyFont="1" applyFill="1" applyBorder="1" applyAlignment="1" applyProtection="1">
      <alignment horizontal="left"/>
      <protection/>
    </xf>
    <xf numFmtId="38" fontId="9" fillId="33" borderId="49" xfId="43" applyNumberFormat="1" applyFont="1" applyFill="1" applyBorder="1" applyAlignment="1" applyProtection="1">
      <alignment horizontal="left"/>
      <protection/>
    </xf>
    <xf numFmtId="38" fontId="159" fillId="45" borderId="64" xfId="43" applyNumberFormat="1" applyFont="1" applyFill="1" applyBorder="1" applyAlignment="1" applyProtection="1">
      <alignment horizontal="center"/>
      <protection/>
    </xf>
    <xf numFmtId="38" fontId="159" fillId="45" borderId="20" xfId="43" applyNumberFormat="1" applyFont="1" applyFill="1" applyBorder="1" applyAlignment="1" applyProtection="1">
      <alignment horizontal="center"/>
      <protection/>
    </xf>
    <xf numFmtId="38" fontId="159" fillId="45" borderId="57" xfId="43" applyNumberFormat="1" applyFont="1" applyFill="1" applyBorder="1" applyAlignment="1" applyProtection="1">
      <alignment horizontal="center"/>
      <protection/>
    </xf>
    <xf numFmtId="38" fontId="46" fillId="33" borderId="61" xfId="43" applyNumberFormat="1" applyFont="1" applyFill="1" applyBorder="1" applyAlignment="1" applyProtection="1">
      <alignment horizontal="center"/>
      <protection/>
    </xf>
    <xf numFmtId="38" fontId="46" fillId="33" borderId="44" xfId="43" applyNumberFormat="1" applyFont="1" applyFill="1" applyBorder="1" applyAlignment="1" applyProtection="1">
      <alignment horizontal="center"/>
      <protection/>
    </xf>
    <xf numFmtId="38" fontId="46" fillId="33" borderId="45" xfId="43" applyNumberFormat="1" applyFont="1" applyFill="1" applyBorder="1" applyAlignment="1" applyProtection="1">
      <alignment horizontal="center"/>
      <protection/>
    </xf>
    <xf numFmtId="38" fontId="14" fillId="33" borderId="59" xfId="43" applyNumberFormat="1" applyFont="1" applyFill="1" applyBorder="1" applyAlignment="1" applyProtection="1">
      <alignment horizontal="center"/>
      <protection/>
    </xf>
    <xf numFmtId="38" fontId="14" fillId="33" borderId="48" xfId="43" applyNumberFormat="1" applyFont="1" applyFill="1" applyBorder="1" applyAlignment="1" applyProtection="1">
      <alignment horizontal="center"/>
      <protection/>
    </xf>
    <xf numFmtId="38" fontId="14" fillId="33" borderId="49" xfId="43" applyNumberFormat="1" applyFont="1" applyFill="1" applyBorder="1" applyAlignment="1" applyProtection="1">
      <alignment horizontal="center"/>
      <protection/>
    </xf>
    <xf numFmtId="38" fontId="178" fillId="42" borderId="41" xfId="43" applyNumberFormat="1" applyFont="1" applyFill="1" applyBorder="1" applyAlignment="1" applyProtection="1">
      <alignment horizontal="center"/>
      <protection/>
    </xf>
    <xf numFmtId="38" fontId="178" fillId="42" borderId="42" xfId="43" applyNumberFormat="1" applyFont="1" applyFill="1" applyBorder="1" applyAlignment="1" applyProtection="1">
      <alignment horizontal="center"/>
      <protection/>
    </xf>
    <xf numFmtId="38" fontId="178" fillId="42" borderId="43" xfId="43" applyNumberFormat="1" applyFont="1" applyFill="1" applyBorder="1" applyAlignment="1" applyProtection="1">
      <alignment horizontal="center"/>
      <protection/>
    </xf>
    <xf numFmtId="178" fontId="196" fillId="44" borderId="27" xfId="34" applyNumberFormat="1" applyFont="1" applyFill="1" applyBorder="1" applyAlignment="1" applyProtection="1">
      <alignment horizontal="center" vertical="center"/>
      <protection locked="0"/>
    </xf>
    <xf numFmtId="178" fontId="196" fillId="44" borderId="28" xfId="34" applyNumberFormat="1" applyFont="1" applyFill="1" applyBorder="1" applyAlignment="1" applyProtection="1">
      <alignment horizontal="center" vertical="center"/>
      <protection locked="0"/>
    </xf>
    <xf numFmtId="0" fontId="10" fillId="33" borderId="65" xfId="37" applyFont="1" applyFill="1" applyBorder="1" applyAlignment="1" applyProtection="1">
      <alignment horizontal="center"/>
      <protection/>
    </xf>
    <xf numFmtId="0" fontId="10" fillId="33" borderId="37" xfId="37" applyFont="1" applyFill="1" applyBorder="1" applyAlignment="1" applyProtection="1">
      <alignment horizontal="center"/>
      <protection/>
    </xf>
    <xf numFmtId="0" fontId="10" fillId="33" borderId="38" xfId="37" applyFont="1" applyFill="1" applyBorder="1" applyAlignment="1" applyProtection="1">
      <alignment horizontal="center"/>
      <protection/>
    </xf>
    <xf numFmtId="38" fontId="9" fillId="33" borderId="59" xfId="43" applyNumberFormat="1" applyFont="1" applyFill="1" applyBorder="1" applyAlignment="1" applyProtection="1">
      <alignment horizontal="center"/>
      <protection/>
    </xf>
    <xf numFmtId="38" fontId="9" fillId="33" borderId="48" xfId="43" applyNumberFormat="1" applyFont="1" applyFill="1" applyBorder="1" applyAlignment="1" applyProtection="1">
      <alignment horizontal="center"/>
      <protection/>
    </xf>
    <xf numFmtId="38" fontId="9" fillId="33" borderId="49" xfId="43" applyNumberFormat="1" applyFont="1" applyFill="1" applyBorder="1" applyAlignment="1" applyProtection="1">
      <alignment horizontal="center"/>
      <protection/>
    </xf>
    <xf numFmtId="199" fontId="197" fillId="26" borderId="0" xfId="0" applyNumberFormat="1" applyFont="1" applyFill="1" applyAlignment="1" applyProtection="1">
      <alignment horizontal="center"/>
      <protection/>
    </xf>
    <xf numFmtId="199" fontId="197" fillId="54" borderId="0" xfId="0" applyNumberFormat="1" applyFont="1" applyFill="1" applyAlignment="1" applyProtection="1">
      <alignment horizontal="center"/>
      <protection/>
    </xf>
    <xf numFmtId="0" fontId="20" fillId="36" borderId="133" xfId="42" applyFont="1" applyFill="1" applyBorder="1" applyAlignment="1" applyProtection="1" quotePrefix="1">
      <alignment horizontal="center" wrapText="1"/>
      <protection/>
    </xf>
    <xf numFmtId="0" fontId="20" fillId="36" borderId="52" xfId="42" applyFont="1" applyFill="1" applyBorder="1" applyAlignment="1" applyProtection="1">
      <alignment horizontal="center" wrapText="1"/>
      <protection/>
    </xf>
    <xf numFmtId="0" fontId="20" fillId="36" borderId="134" xfId="42" applyFont="1" applyFill="1" applyBorder="1" applyAlignment="1" applyProtection="1">
      <alignment horizontal="center" wrapText="1"/>
      <protection/>
    </xf>
    <xf numFmtId="179" fontId="8" fillId="33" borderId="27" xfId="40" applyNumberFormat="1" applyFont="1" applyFill="1" applyBorder="1" applyAlignment="1" applyProtection="1" quotePrefix="1">
      <alignment horizontal="center" vertical="center"/>
      <protection/>
    </xf>
    <xf numFmtId="179" fontId="8" fillId="33" borderId="28" xfId="40" applyNumberFormat="1" applyFont="1" applyFill="1" applyBorder="1" applyAlignment="1" applyProtection="1" quotePrefix="1">
      <alignment horizontal="center" vertical="center"/>
      <protection/>
    </xf>
    <xf numFmtId="178" fontId="196" fillId="44" borderId="27" xfId="34" applyNumberFormat="1" applyFont="1" applyFill="1" applyBorder="1" applyAlignment="1" applyProtection="1">
      <alignment horizontal="center" vertical="center"/>
      <protection/>
    </xf>
    <xf numFmtId="178" fontId="196" fillId="44" borderId="28" xfId="34" applyNumberFormat="1" applyFont="1" applyFill="1" applyBorder="1" applyAlignment="1" applyProtection="1">
      <alignment horizontal="center" vertical="center"/>
      <protection/>
    </xf>
    <xf numFmtId="0" fontId="9" fillId="36" borderId="17" xfId="42" applyFont="1" applyFill="1" applyBorder="1" applyAlignment="1" applyProtection="1">
      <alignment horizontal="center" vertical="top"/>
      <protection/>
    </xf>
    <xf numFmtId="0" fontId="9" fillId="36" borderId="0" xfId="42" applyFont="1" applyFill="1" applyBorder="1" applyAlignment="1" applyProtection="1">
      <alignment horizontal="center" vertical="top"/>
      <protection/>
    </xf>
    <xf numFmtId="0" fontId="9" fillId="36" borderId="18" xfId="42" applyFont="1" applyFill="1" applyBorder="1" applyAlignment="1" applyProtection="1">
      <alignment horizontal="center" vertical="top"/>
      <protection/>
    </xf>
    <xf numFmtId="0" fontId="57" fillId="33" borderId="25" xfId="42" applyFont="1" applyFill="1" applyBorder="1" applyAlignment="1" applyProtection="1">
      <alignment horizontal="center" vertical="center" wrapText="1"/>
      <protection/>
    </xf>
    <xf numFmtId="0" fontId="57" fillId="33" borderId="20" xfId="42" applyFont="1" applyFill="1" applyBorder="1" applyAlignment="1" applyProtection="1">
      <alignment horizontal="center" vertical="center" wrapText="1"/>
      <protection/>
    </xf>
    <xf numFmtId="0" fontId="57" fillId="33" borderId="21" xfId="42" applyFont="1" applyFill="1" applyBorder="1" applyAlignment="1" applyProtection="1">
      <alignment horizontal="center" vertical="center" wrapText="1"/>
      <protection/>
    </xf>
    <xf numFmtId="38" fontId="11" fillId="33" borderId="27" xfId="73" applyNumberFormat="1" applyFont="1" applyFill="1" applyBorder="1" applyAlignment="1" applyProtection="1">
      <alignment horizontal="center" vertical="center"/>
      <protection/>
    </xf>
    <xf numFmtId="38" fontId="11" fillId="33" borderId="42" xfId="73" applyNumberFormat="1" applyFont="1" applyFill="1" applyBorder="1" applyAlignment="1" applyProtection="1">
      <alignment horizontal="center" vertical="center"/>
      <protection/>
    </xf>
    <xf numFmtId="38" fontId="11" fillId="33" borderId="28" xfId="73" applyNumberFormat="1" applyFont="1" applyFill="1" applyBorder="1" applyAlignment="1" applyProtection="1">
      <alignment horizontal="center" vertical="center"/>
      <protection/>
    </xf>
    <xf numFmtId="0" fontId="198" fillId="36" borderId="27" xfId="73" applyFont="1" applyFill="1" applyBorder="1" applyAlignment="1" applyProtection="1">
      <alignment horizontal="center" vertical="center"/>
      <protection/>
    </xf>
    <xf numFmtId="0" fontId="198" fillId="36" borderId="42" xfId="73" applyFont="1" applyFill="1" applyBorder="1" applyAlignment="1" applyProtection="1">
      <alignment horizontal="center" vertical="center"/>
      <protection/>
    </xf>
    <xf numFmtId="0" fontId="198" fillId="36" borderId="28" xfId="73" applyFont="1" applyFill="1" applyBorder="1" applyAlignment="1" applyProtection="1">
      <alignment horizontal="center" vertical="center"/>
      <protection/>
    </xf>
    <xf numFmtId="0" fontId="27" fillId="33" borderId="0" xfId="37" applyFont="1" applyFill="1" applyBorder="1" applyAlignment="1" applyProtection="1">
      <alignment horizontal="center"/>
      <protection/>
    </xf>
    <xf numFmtId="0" fontId="8" fillId="33" borderId="0" xfId="34" applyFont="1" applyFill="1" applyAlignment="1" applyProtection="1" quotePrefix="1">
      <alignment horizontal="center"/>
      <protection/>
    </xf>
    <xf numFmtId="177" fontId="195" fillId="33" borderId="0" xfId="37" applyNumberFormat="1" applyFont="1" applyFill="1" applyBorder="1" applyAlignment="1" applyProtection="1">
      <alignment horizontal="center"/>
      <protection/>
    </xf>
    <xf numFmtId="0" fontId="192" fillId="33" borderId="44" xfId="34" applyFont="1" applyFill="1" applyBorder="1" applyAlignment="1" applyProtection="1" quotePrefix="1">
      <alignment horizontal="center"/>
      <protection/>
    </xf>
    <xf numFmtId="177" fontId="4" fillId="26" borderId="27" xfId="37" applyNumberFormat="1" applyFont="1" applyFill="1" applyBorder="1" applyAlignment="1" applyProtection="1">
      <alignment horizontal="center"/>
      <protection/>
    </xf>
    <xf numFmtId="177" fontId="4" fillId="26" borderId="42" xfId="37" applyNumberFormat="1" applyFont="1" applyFill="1" applyBorder="1" applyAlignment="1" applyProtection="1">
      <alignment horizontal="center"/>
      <protection/>
    </xf>
    <xf numFmtId="177" fontId="4" fillId="26" borderId="28" xfId="37" applyNumberFormat="1" applyFont="1" applyFill="1" applyBorder="1" applyAlignment="1" applyProtection="1">
      <alignment horizontal="center"/>
      <protection/>
    </xf>
    <xf numFmtId="0" fontId="194" fillId="33" borderId="115" xfId="39" applyFont="1" applyFill="1" applyBorder="1" applyAlignment="1" applyProtection="1">
      <alignment horizontal="center"/>
      <protection/>
    </xf>
    <xf numFmtId="0" fontId="194" fillId="33" borderId="135" xfId="39" applyFont="1" applyFill="1" applyBorder="1" applyAlignment="1" applyProtection="1">
      <alignment horizontal="center"/>
      <protection/>
    </xf>
    <xf numFmtId="200" fontId="199" fillId="55" borderId="0" xfId="34" applyNumberFormat="1" applyFont="1" applyFill="1" applyAlignment="1" applyProtection="1" quotePrefix="1">
      <alignment horizont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2 2" xfId="35"/>
    <cellStyle name="Normal 3" xfId="36"/>
    <cellStyle name="Normal 4" xfId="37"/>
    <cellStyle name="Normal 5" xfId="38"/>
    <cellStyle name="Normal_B3_2013" xfId="39"/>
    <cellStyle name="Normal_COA-2001-ZAPOVED-No-81-29012002-ANNEX" xfId="40"/>
    <cellStyle name="Normal_Spravka-&amp;-69-05-2011-MAKET-entity" xfId="41"/>
    <cellStyle name="Normal_TRIAL-BALANCE-2001-MAKET" xfId="42"/>
    <cellStyle name="Normal_ZADACHA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70">
      <selection activeCell="A1" sqref="A1"/>
    </sheetView>
  </sheetViews>
  <sheetFormatPr defaultColWidth="9.140625" defaultRowHeight="15"/>
  <cols>
    <col min="1" max="1" width="0.71875" style="55" customWidth="1"/>
    <col min="2" max="2" width="5.28125" style="65" customWidth="1"/>
    <col min="3" max="3" width="3.7109375" style="65" customWidth="1"/>
    <col min="4" max="4" width="8.421875" style="65" customWidth="1"/>
    <col min="5" max="5" width="12.57421875" style="65" customWidth="1"/>
    <col min="6" max="6" width="6.7109375" style="65" customWidth="1"/>
    <col min="7" max="7" width="3.28125" style="65" customWidth="1"/>
    <col min="8" max="8" width="9.8515625" style="65" customWidth="1"/>
    <col min="9" max="9" width="5.421875" style="65" customWidth="1"/>
    <col min="10" max="10" width="20.00390625" style="65" customWidth="1"/>
    <col min="11" max="11" width="18.00390625" style="65" customWidth="1"/>
    <col min="12" max="12" width="18.7109375" style="65" customWidth="1"/>
    <col min="13" max="13" width="5.421875" style="65" customWidth="1"/>
    <col min="14" max="14" width="0.5625" style="65" customWidth="1"/>
    <col min="15" max="16384" width="9.140625" style="55" customWidth="1"/>
  </cols>
  <sheetData>
    <row r="1" spans="1:59" s="595" customFormat="1" ht="9.75" customHeight="1" thickBot="1">
      <c r="A1" s="587"/>
      <c r="B1" s="588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90"/>
      <c r="Q1" s="591"/>
      <c r="R1" s="592"/>
      <c r="S1" s="592"/>
      <c r="T1" s="592"/>
      <c r="U1" s="592"/>
      <c r="V1" s="592"/>
      <c r="W1" s="592"/>
      <c r="X1" s="590"/>
      <c r="Y1" s="592"/>
      <c r="Z1" s="592"/>
      <c r="AA1" s="592"/>
      <c r="AB1" s="592"/>
      <c r="AC1" s="593"/>
      <c r="AD1" s="593"/>
      <c r="AE1" s="594"/>
      <c r="AF1" s="593"/>
      <c r="AG1" s="593"/>
      <c r="AH1" s="593"/>
      <c r="AI1" s="593"/>
      <c r="AJ1" s="593"/>
      <c r="AK1" s="593"/>
      <c r="AM1" s="596"/>
      <c r="AN1" s="593"/>
      <c r="AO1" s="593"/>
      <c r="AP1" s="593"/>
      <c r="AQ1" s="593"/>
      <c r="AR1" s="593"/>
      <c r="AS1" s="593"/>
      <c r="AT1" s="594"/>
      <c r="AU1" s="593"/>
      <c r="AV1" s="593"/>
      <c r="AW1" s="593"/>
      <c r="AX1" s="593"/>
      <c r="AY1" s="593"/>
      <c r="AZ1" s="593"/>
      <c r="BA1" s="594"/>
      <c r="BB1" s="593"/>
      <c r="BC1" s="593"/>
      <c r="BD1" s="593"/>
      <c r="BE1" s="593"/>
      <c r="BF1" s="593"/>
      <c r="BG1" s="593"/>
    </row>
    <row r="2" spans="1:28" s="65" customFormat="1" ht="16.5" thickBot="1">
      <c r="A2" s="70"/>
      <c r="B2" s="597" t="s">
        <v>287</v>
      </c>
      <c r="C2" s="598"/>
      <c r="D2" s="598"/>
      <c r="E2" s="598"/>
      <c r="F2" s="598"/>
      <c r="G2" s="598"/>
      <c r="H2" s="598"/>
      <c r="I2" s="598"/>
      <c r="J2" s="598"/>
      <c r="K2" s="598"/>
      <c r="L2" s="666">
        <f>+'Cash-Flow-2020-Leva'!P5</f>
        <v>2020</v>
      </c>
      <c r="M2" s="666"/>
      <c r="N2" s="599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s="65" customFormat="1" ht="3" customHeight="1" thickTop="1">
      <c r="A3" s="70"/>
      <c r="B3" s="5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</row>
    <row r="4" spans="1:28" s="65" customFormat="1" ht="15.75">
      <c r="A4" s="70"/>
      <c r="B4" s="59" t="s">
        <v>9</v>
      </c>
      <c r="C4" s="60" t="s">
        <v>10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</row>
    <row r="5" spans="1:28" s="65" customFormat="1" ht="15.75">
      <c r="A5" s="70"/>
      <c r="B5" s="56"/>
      <c r="C5" s="61">
        <v>1</v>
      </c>
      <c r="D5" s="57" t="s">
        <v>29</v>
      </c>
      <c r="E5" s="57"/>
      <c r="F5" s="57"/>
      <c r="G5" s="57"/>
      <c r="H5" s="57"/>
      <c r="I5" s="57"/>
      <c r="J5" s="57"/>
      <c r="K5" s="57"/>
      <c r="L5" s="57"/>
      <c r="M5" s="57"/>
      <c r="N5" s="58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</row>
    <row r="6" spans="1:28" s="65" customFormat="1" ht="15.75">
      <c r="A6" s="70"/>
      <c r="B6" s="56"/>
      <c r="C6" s="61"/>
      <c r="D6" s="57" t="s">
        <v>30</v>
      </c>
      <c r="E6" s="57"/>
      <c r="F6" s="57"/>
      <c r="G6" s="57"/>
      <c r="H6" s="57"/>
      <c r="I6" s="57"/>
      <c r="J6" s="57"/>
      <c r="K6" s="57"/>
      <c r="L6" s="57"/>
      <c r="M6" s="57"/>
      <c r="N6" s="58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</row>
    <row r="7" spans="1:28" s="65" customFormat="1" ht="15.75">
      <c r="A7" s="70"/>
      <c r="B7" s="56"/>
      <c r="C7" s="61"/>
      <c r="D7" s="57" t="s">
        <v>44</v>
      </c>
      <c r="E7" s="57"/>
      <c r="F7" s="57"/>
      <c r="G7" s="57"/>
      <c r="H7" s="673">
        <f>+'Cash-Flow-2020-Leva'!P5</f>
        <v>2020</v>
      </c>
      <c r="I7" s="673"/>
      <c r="J7" s="57" t="s">
        <v>356</v>
      </c>
      <c r="K7" s="57"/>
      <c r="L7" s="57"/>
      <c r="M7" s="57"/>
      <c r="N7" s="58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</row>
    <row r="8" spans="1:28" s="65" customFormat="1" ht="15.75">
      <c r="A8" s="70"/>
      <c r="B8" s="56"/>
      <c r="C8" s="61"/>
      <c r="D8" s="57" t="s">
        <v>264</v>
      </c>
      <c r="E8" s="57"/>
      <c r="F8" s="57"/>
      <c r="G8" s="57"/>
      <c r="H8" s="57"/>
      <c r="I8" s="57"/>
      <c r="J8" s="57"/>
      <c r="K8" s="57"/>
      <c r="L8" s="57"/>
      <c r="M8" s="57"/>
      <c r="N8" s="58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</row>
    <row r="9" spans="1:28" s="65" customFormat="1" ht="15.75">
      <c r="A9" s="70"/>
      <c r="B9" s="56"/>
      <c r="C9" s="61"/>
      <c r="D9" s="57" t="s">
        <v>263</v>
      </c>
      <c r="E9" s="57"/>
      <c r="F9" s="57"/>
      <c r="G9" s="57"/>
      <c r="H9" s="57"/>
      <c r="I9" s="57"/>
      <c r="J9" s="57"/>
      <c r="K9" s="57"/>
      <c r="L9" s="57"/>
      <c r="M9" s="57"/>
      <c r="N9" s="58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1:28" s="65" customFormat="1" ht="15.75">
      <c r="A10" s="70"/>
      <c r="B10" s="56"/>
      <c r="C10" s="61">
        <f>1+C5</f>
        <v>2</v>
      </c>
      <c r="D10" s="57" t="s">
        <v>357</v>
      </c>
      <c r="E10" s="57"/>
      <c r="F10" s="57"/>
      <c r="G10" s="57"/>
      <c r="H10" s="57"/>
      <c r="I10" s="57"/>
      <c r="J10" s="57"/>
      <c r="K10" s="57"/>
      <c r="L10" s="57"/>
      <c r="M10" s="57"/>
      <c r="N10" s="58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</row>
    <row r="11" spans="1:28" s="65" customFormat="1" ht="15.75">
      <c r="A11" s="70"/>
      <c r="B11" s="56"/>
      <c r="C11" s="61"/>
      <c r="D11" s="449" t="s">
        <v>358</v>
      </c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</row>
    <row r="12" spans="1:28" s="65" customFormat="1" ht="15.75">
      <c r="A12" s="70"/>
      <c r="B12" s="56"/>
      <c r="C12" s="61"/>
      <c r="D12" s="57" t="s">
        <v>359</v>
      </c>
      <c r="E12" s="57"/>
      <c r="F12" s="57"/>
      <c r="G12" s="57"/>
      <c r="H12" s="57"/>
      <c r="I12" s="57"/>
      <c r="J12" s="57"/>
      <c r="K12" s="57"/>
      <c r="L12" s="57"/>
      <c r="M12" s="57"/>
      <c r="N12" s="58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</row>
    <row r="13" spans="1:28" s="65" customFormat="1" ht="15.75">
      <c r="A13" s="70"/>
      <c r="B13" s="56"/>
      <c r="C13" s="61"/>
      <c r="D13" s="600" t="s">
        <v>360</v>
      </c>
      <c r="E13" s="57"/>
      <c r="F13" s="57"/>
      <c r="G13" s="57"/>
      <c r="H13" s="57"/>
      <c r="I13" s="57"/>
      <c r="J13" s="57"/>
      <c r="K13" s="57"/>
      <c r="L13" s="57"/>
      <c r="M13" s="57"/>
      <c r="N13" s="58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</row>
    <row r="14" spans="1:28" s="65" customFormat="1" ht="15.75">
      <c r="A14" s="70"/>
      <c r="B14" s="56"/>
      <c r="C14" s="61"/>
      <c r="D14" s="600" t="s">
        <v>311</v>
      </c>
      <c r="E14" s="57"/>
      <c r="F14" s="57"/>
      <c r="G14" s="57"/>
      <c r="H14" s="601">
        <f>+H7</f>
        <v>2020</v>
      </c>
      <c r="I14" s="600" t="s">
        <v>312</v>
      </c>
      <c r="J14" s="600"/>
      <c r="K14" s="57"/>
      <c r="L14" s="57"/>
      <c r="M14" s="57"/>
      <c r="N14" s="58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</row>
    <row r="15" spans="1:28" s="65" customFormat="1" ht="15.75">
      <c r="A15" s="70"/>
      <c r="B15" s="56"/>
      <c r="C15" s="61"/>
      <c r="D15" s="600" t="s">
        <v>361</v>
      </c>
      <c r="E15" s="57"/>
      <c r="F15" s="57"/>
      <c r="G15" s="57"/>
      <c r="H15" s="57"/>
      <c r="I15" s="57"/>
      <c r="J15" s="57"/>
      <c r="K15" s="57"/>
      <c r="L15" s="57"/>
      <c r="M15" s="57"/>
      <c r="N15" s="58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</row>
    <row r="16" spans="1:28" s="65" customFormat="1" ht="15.75">
      <c r="A16" s="70"/>
      <c r="B16" s="56"/>
      <c r="C16" s="61">
        <f>1+C10</f>
        <v>3</v>
      </c>
      <c r="D16" s="57" t="s">
        <v>362</v>
      </c>
      <c r="E16" s="57"/>
      <c r="F16" s="57"/>
      <c r="G16" s="57"/>
      <c r="H16" s="57"/>
      <c r="I16" s="57"/>
      <c r="J16" s="57"/>
      <c r="K16" s="57"/>
      <c r="L16" s="57"/>
      <c r="M16" s="57"/>
      <c r="N16" s="58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</row>
    <row r="17" spans="1:28" s="65" customFormat="1" ht="15.75">
      <c r="A17" s="70"/>
      <c r="B17" s="56"/>
      <c r="C17" s="61"/>
      <c r="D17" s="449" t="s">
        <v>363</v>
      </c>
      <c r="E17" s="602">
        <f>+H7-1</f>
        <v>2019</v>
      </c>
      <c r="F17" s="449" t="s">
        <v>364</v>
      </c>
      <c r="G17" s="57"/>
      <c r="H17" s="57"/>
      <c r="I17" s="57"/>
      <c r="J17" s="449"/>
      <c r="K17" s="57"/>
      <c r="L17" s="57"/>
      <c r="M17" s="57"/>
      <c r="N17" s="58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</row>
    <row r="18" spans="1:28" s="65" customFormat="1" ht="15.75">
      <c r="A18" s="70"/>
      <c r="B18" s="56"/>
      <c r="C18" s="61"/>
      <c r="D18" s="57" t="s">
        <v>365</v>
      </c>
      <c r="E18" s="57"/>
      <c r="F18" s="57"/>
      <c r="G18" s="57"/>
      <c r="H18" s="57"/>
      <c r="I18" s="57"/>
      <c r="J18" s="57"/>
      <c r="K18" s="57"/>
      <c r="L18" s="57"/>
      <c r="M18" s="57"/>
      <c r="N18" s="58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</row>
    <row r="19" spans="1:28" s="65" customFormat="1" ht="15.75">
      <c r="A19" s="70"/>
      <c r="B19" s="56"/>
      <c r="C19" s="61"/>
      <c r="D19" s="600" t="s">
        <v>366</v>
      </c>
      <c r="E19" s="57"/>
      <c r="F19" s="57"/>
      <c r="G19" s="57"/>
      <c r="H19" s="57"/>
      <c r="I19" s="57"/>
      <c r="J19" s="57"/>
      <c r="K19" s="57"/>
      <c r="L19" s="603">
        <f>+H7-1</f>
        <v>2019</v>
      </c>
      <c r="M19" s="57"/>
      <c r="N19" s="58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</row>
    <row r="20" spans="1:28" s="65" customFormat="1" ht="15.75">
      <c r="A20" s="70"/>
      <c r="B20" s="56"/>
      <c r="C20" s="61"/>
      <c r="D20" s="57" t="s">
        <v>367</v>
      </c>
      <c r="E20" s="57"/>
      <c r="F20" s="57"/>
      <c r="G20" s="57"/>
      <c r="H20" s="57"/>
      <c r="I20" s="57"/>
      <c r="J20" s="57"/>
      <c r="K20" s="57"/>
      <c r="L20" s="57"/>
      <c r="M20" s="57"/>
      <c r="N20" s="58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</row>
    <row r="21" spans="1:28" s="65" customFormat="1" ht="15.75">
      <c r="A21" s="70"/>
      <c r="B21" s="56"/>
      <c r="C21" s="61"/>
      <c r="D21" s="600" t="s">
        <v>311</v>
      </c>
      <c r="E21" s="57"/>
      <c r="F21" s="57"/>
      <c r="G21" s="57"/>
      <c r="H21" s="602">
        <f>+H7-1</f>
        <v>2019</v>
      </c>
      <c r="I21" s="600" t="s">
        <v>312</v>
      </c>
      <c r="J21" s="600"/>
      <c r="K21" s="57"/>
      <c r="L21" s="57"/>
      <c r="M21" s="57"/>
      <c r="N21" s="58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</row>
    <row r="22" spans="1:28" s="65" customFormat="1" ht="15.75">
      <c r="A22" s="70"/>
      <c r="B22" s="56"/>
      <c r="C22" s="61"/>
      <c r="D22" s="600" t="s">
        <v>368</v>
      </c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</row>
    <row r="23" spans="1:28" s="65" customFormat="1" ht="15.75">
      <c r="A23" s="70"/>
      <c r="B23" s="56"/>
      <c r="C23" s="61">
        <f>1+C16</f>
        <v>4</v>
      </c>
      <c r="D23" s="57" t="s">
        <v>369</v>
      </c>
      <c r="E23" s="57"/>
      <c r="F23" s="57"/>
      <c r="G23" s="57"/>
      <c r="H23" s="57"/>
      <c r="I23" s="57"/>
      <c r="J23" s="57"/>
      <c r="K23" s="57"/>
      <c r="L23" s="57"/>
      <c r="M23" s="57"/>
      <c r="N23" s="58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</row>
    <row r="24" spans="1:28" s="65" customFormat="1" ht="15.75">
      <c r="A24" s="70"/>
      <c r="B24" s="56"/>
      <c r="C24" s="61"/>
      <c r="D24" s="600" t="s">
        <v>370</v>
      </c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</row>
    <row r="25" spans="1:28" s="65" customFormat="1" ht="15.75">
      <c r="A25" s="70"/>
      <c r="B25" s="56"/>
      <c r="C25" s="61"/>
      <c r="D25" s="449" t="s">
        <v>270</v>
      </c>
      <c r="E25" s="57"/>
      <c r="F25" s="57"/>
      <c r="G25" s="57"/>
      <c r="H25" s="57"/>
      <c r="I25" s="57"/>
      <c r="J25" s="57"/>
      <c r="K25" s="57"/>
      <c r="L25" s="57"/>
      <c r="M25" s="57"/>
      <c r="N25" s="58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</row>
    <row r="26" spans="1:28" s="65" customFormat="1" ht="15.75">
      <c r="A26" s="70"/>
      <c r="B26" s="56"/>
      <c r="C26" s="61">
        <f>1+C23</f>
        <v>5</v>
      </c>
      <c r="D26" s="57" t="s">
        <v>371</v>
      </c>
      <c r="E26" s="57"/>
      <c r="F26" s="57"/>
      <c r="G26" s="57"/>
      <c r="H26" s="57"/>
      <c r="I26" s="57"/>
      <c r="J26" s="57"/>
      <c r="K26" s="57"/>
      <c r="L26" s="57"/>
      <c r="M26" s="57"/>
      <c r="N26" s="58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</row>
    <row r="27" spans="1:28" s="65" customFormat="1" ht="15.75">
      <c r="A27" s="70"/>
      <c r="B27" s="56"/>
      <c r="C27" s="61"/>
      <c r="D27" s="57" t="s">
        <v>288</v>
      </c>
      <c r="E27" s="57"/>
      <c r="F27" s="57"/>
      <c r="G27" s="57"/>
      <c r="H27" s="57"/>
      <c r="I27" s="57"/>
      <c r="J27" s="57"/>
      <c r="K27" s="57"/>
      <c r="L27" s="57"/>
      <c r="M27" s="57"/>
      <c r="N27" s="58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</row>
    <row r="28" spans="1:28" s="65" customFormat="1" ht="15.75">
      <c r="A28" s="70"/>
      <c r="B28" s="56"/>
      <c r="C28" s="61">
        <f>1+C26</f>
        <v>6</v>
      </c>
      <c r="D28" s="57" t="s">
        <v>31</v>
      </c>
      <c r="E28" s="57"/>
      <c r="F28" s="57"/>
      <c r="G28" s="57"/>
      <c r="H28" s="57"/>
      <c r="I28" s="57"/>
      <c r="J28" s="57"/>
      <c r="K28" s="57"/>
      <c r="L28" s="57"/>
      <c r="M28" s="57"/>
      <c r="N28" s="58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</row>
    <row r="29" spans="1:28" s="65" customFormat="1" ht="9" customHeight="1">
      <c r="A29" s="70"/>
      <c r="B29" s="56"/>
      <c r="C29" s="61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8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</row>
    <row r="30" spans="1:28" s="65" customFormat="1" ht="15.75">
      <c r="A30" s="70"/>
      <c r="B30" s="59" t="s">
        <v>11</v>
      </c>
      <c r="C30" s="62" t="s">
        <v>13</v>
      </c>
      <c r="D30" s="57"/>
      <c r="E30" s="57"/>
      <c r="F30" s="675">
        <f>+'Cash-Flow-2020-Leva'!P5</f>
        <v>2020</v>
      </c>
      <c r="G30" s="675"/>
      <c r="H30" s="675"/>
      <c r="I30" s="675"/>
      <c r="J30" s="57"/>
      <c r="K30" s="57"/>
      <c r="L30" s="57"/>
      <c r="M30" s="57"/>
      <c r="N30" s="58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s="65" customFormat="1" ht="15.75">
      <c r="A31" s="70"/>
      <c r="B31" s="56"/>
      <c r="C31" s="61">
        <f>1+C28</f>
        <v>7</v>
      </c>
      <c r="D31" s="57" t="s">
        <v>372</v>
      </c>
      <c r="E31" s="57"/>
      <c r="F31" s="57"/>
      <c r="G31" s="57"/>
      <c r="H31" s="57"/>
      <c r="I31" s="57"/>
      <c r="J31" s="57"/>
      <c r="K31" s="57"/>
      <c r="L31" s="57"/>
      <c r="M31" s="57"/>
      <c r="N31" s="58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</row>
    <row r="32" spans="1:28" s="65" customFormat="1" ht="15.75">
      <c r="A32" s="70"/>
      <c r="B32" s="56"/>
      <c r="C32" s="61">
        <f>1+C31</f>
        <v>8</v>
      </c>
      <c r="D32" s="57" t="s">
        <v>373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</row>
    <row r="33" spans="1:28" s="65" customFormat="1" ht="15.75">
      <c r="A33" s="70"/>
      <c r="B33" s="56"/>
      <c r="C33" s="61"/>
      <c r="D33" s="449" t="s">
        <v>374</v>
      </c>
      <c r="E33" s="57"/>
      <c r="F33" s="57"/>
      <c r="G33" s="57"/>
      <c r="H33" s="57"/>
      <c r="I33" s="57"/>
      <c r="J33" s="57"/>
      <c r="K33" s="586">
        <f>+H7</f>
        <v>2020</v>
      </c>
      <c r="L33" s="604"/>
      <c r="M33" s="57"/>
      <c r="N33" s="58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</row>
    <row r="34" spans="1:28" s="65" customFormat="1" ht="15.75">
      <c r="A34" s="70"/>
      <c r="B34" s="56"/>
      <c r="C34" s="61">
        <f>1+C32</f>
        <v>9</v>
      </c>
      <c r="D34" s="57" t="s">
        <v>375</v>
      </c>
      <c r="E34" s="57"/>
      <c r="F34" s="57"/>
      <c r="G34" s="57"/>
      <c r="H34" s="57"/>
      <c r="I34" s="57"/>
      <c r="J34" s="57"/>
      <c r="K34" s="57"/>
      <c r="L34" s="57"/>
      <c r="M34" s="57"/>
      <c r="N34" s="58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</row>
    <row r="35" spans="1:28" s="65" customFormat="1" ht="15.75">
      <c r="A35" s="70"/>
      <c r="B35" s="56"/>
      <c r="C35" s="61"/>
      <c r="D35" s="449" t="s">
        <v>376</v>
      </c>
      <c r="E35" s="57"/>
      <c r="F35" s="57"/>
      <c r="G35" s="57"/>
      <c r="H35" s="57"/>
      <c r="I35" s="57"/>
      <c r="J35" s="57"/>
      <c r="K35" s="57"/>
      <c r="L35" s="57"/>
      <c r="M35" s="57"/>
      <c r="N35" s="58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</row>
    <row r="36" spans="1:28" s="65" customFormat="1" ht="15.75">
      <c r="A36" s="70"/>
      <c r="B36" s="56"/>
      <c r="C36" s="61"/>
      <c r="D36" s="600" t="s">
        <v>377</v>
      </c>
      <c r="E36" s="57"/>
      <c r="F36" s="57"/>
      <c r="G36" s="57"/>
      <c r="H36" s="57"/>
      <c r="I36" s="57"/>
      <c r="J36" s="57"/>
      <c r="K36" s="57"/>
      <c r="L36" s="57"/>
      <c r="M36" s="57"/>
      <c r="N36" s="58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</row>
    <row r="37" spans="1:28" s="65" customFormat="1" ht="15.75">
      <c r="A37" s="70"/>
      <c r="B37" s="56"/>
      <c r="C37" s="61"/>
      <c r="D37" s="449" t="s">
        <v>265</v>
      </c>
      <c r="E37" s="57"/>
      <c r="F37" s="57"/>
      <c r="G37" s="649">
        <f>+H7</f>
        <v>2020</v>
      </c>
      <c r="H37" s="649"/>
      <c r="I37" s="57"/>
      <c r="J37" s="57"/>
      <c r="K37" s="57"/>
      <c r="L37" s="57"/>
      <c r="M37" s="57"/>
      <c r="N37" s="58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</row>
    <row r="38" spans="1:28" s="65" customFormat="1" ht="15.75">
      <c r="A38" s="70"/>
      <c r="B38" s="56"/>
      <c r="C38" s="61">
        <f>1+C34</f>
        <v>10</v>
      </c>
      <c r="D38" s="57" t="s">
        <v>378</v>
      </c>
      <c r="E38" s="57"/>
      <c r="F38" s="57"/>
      <c r="G38" s="57"/>
      <c r="H38" s="57"/>
      <c r="I38" s="57"/>
      <c r="J38" s="57"/>
      <c r="K38" s="57"/>
      <c r="L38" s="57"/>
      <c r="M38" s="57"/>
      <c r="N38" s="58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</row>
    <row r="39" spans="1:28" s="65" customFormat="1" ht="15.75">
      <c r="A39" s="70"/>
      <c r="B39" s="56"/>
      <c r="C39" s="61"/>
      <c r="D39" s="449" t="s">
        <v>379</v>
      </c>
      <c r="E39" s="57"/>
      <c r="F39" s="605"/>
      <c r="G39" s="605"/>
      <c r="H39" s="605"/>
      <c r="I39" s="566"/>
      <c r="J39" s="586">
        <f>+H7</f>
        <v>2020</v>
      </c>
      <c r="K39" s="57"/>
      <c r="L39" s="57"/>
      <c r="M39" s="57"/>
      <c r="N39" s="58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</row>
    <row r="40" spans="1:28" s="65" customFormat="1" ht="15.75">
      <c r="A40" s="70"/>
      <c r="B40" s="56"/>
      <c r="C40" s="61">
        <f>1+C38</f>
        <v>11</v>
      </c>
      <c r="D40" s="57" t="s">
        <v>380</v>
      </c>
      <c r="E40" s="57"/>
      <c r="F40" s="57"/>
      <c r="G40" s="57"/>
      <c r="H40" s="57"/>
      <c r="I40" s="57"/>
      <c r="J40" s="57"/>
      <c r="L40" s="668">
        <f>+F30-1</f>
        <v>2019</v>
      </c>
      <c r="M40" s="668"/>
      <c r="N40" s="58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</row>
    <row r="41" spans="1:28" s="65" customFormat="1" ht="15.75">
      <c r="A41" s="70"/>
      <c r="B41" s="56"/>
      <c r="C41" s="61"/>
      <c r="D41" s="449" t="s">
        <v>268</v>
      </c>
      <c r="E41" s="57"/>
      <c r="F41" s="605"/>
      <c r="G41" s="605"/>
      <c r="H41" s="605"/>
      <c r="I41" s="566"/>
      <c r="J41" s="606">
        <f>+H7-1</f>
        <v>2019</v>
      </c>
      <c r="K41" s="57" t="s">
        <v>266</v>
      </c>
      <c r="L41" s="57"/>
      <c r="M41" s="57"/>
      <c r="N41" s="58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</row>
    <row r="42" spans="1:28" s="65" customFormat="1" ht="15.75">
      <c r="A42" s="70"/>
      <c r="B42" s="56"/>
      <c r="C42" s="61"/>
      <c r="D42" s="449" t="s">
        <v>267</v>
      </c>
      <c r="E42" s="57"/>
      <c r="F42" s="605"/>
      <c r="G42" s="667">
        <f>+H7-1</f>
        <v>2019</v>
      </c>
      <c r="H42" s="667"/>
      <c r="I42" s="607" t="s">
        <v>381</v>
      </c>
      <c r="J42" s="605"/>
      <c r="K42" s="57"/>
      <c r="L42" s="57"/>
      <c r="M42" s="57"/>
      <c r="N42" s="58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</row>
    <row r="43" spans="1:28" s="65" customFormat="1" ht="15.75">
      <c r="A43" s="70"/>
      <c r="B43" s="56"/>
      <c r="C43" s="61"/>
      <c r="D43" s="600" t="s">
        <v>382</v>
      </c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</row>
    <row r="44" spans="1:28" s="65" customFormat="1" ht="15.75">
      <c r="A44" s="70"/>
      <c r="B44" s="56"/>
      <c r="C44" s="61"/>
      <c r="D44" s="600" t="s">
        <v>383</v>
      </c>
      <c r="E44" s="57"/>
      <c r="F44" s="57"/>
      <c r="G44" s="57"/>
      <c r="H44" s="57"/>
      <c r="I44" s="57"/>
      <c r="J44" s="57"/>
      <c r="K44" s="57"/>
      <c r="L44" s="603">
        <f>+H7-1</f>
        <v>2019</v>
      </c>
      <c r="M44" s="57"/>
      <c r="N44" s="58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</row>
    <row r="45" spans="1:28" s="65" customFormat="1" ht="15.75">
      <c r="A45" s="70"/>
      <c r="B45" s="56"/>
      <c r="C45" s="61">
        <f>1+C40</f>
        <v>12</v>
      </c>
      <c r="D45" s="600" t="s">
        <v>269</v>
      </c>
      <c r="E45" s="57"/>
      <c r="F45" s="57"/>
      <c r="G45" s="57"/>
      <c r="H45" s="57"/>
      <c r="I45" s="57"/>
      <c r="J45" s="57"/>
      <c r="K45" s="57"/>
      <c r="L45" s="57"/>
      <c r="M45" s="57"/>
      <c r="N45" s="58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</row>
    <row r="46" spans="1:28" s="65" customFormat="1" ht="15.75">
      <c r="A46" s="70"/>
      <c r="B46" s="56"/>
      <c r="C46" s="61"/>
      <c r="D46" s="600" t="s">
        <v>34</v>
      </c>
      <c r="E46" s="57"/>
      <c r="F46" s="57"/>
      <c r="G46" s="57"/>
      <c r="H46" s="57"/>
      <c r="I46" s="57"/>
      <c r="J46" s="57"/>
      <c r="K46" s="57"/>
      <c r="L46" s="57"/>
      <c r="M46" s="57"/>
      <c r="N46" s="58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</row>
    <row r="47" spans="1:28" s="65" customFormat="1" ht="15.75">
      <c r="A47" s="70"/>
      <c r="B47" s="56"/>
      <c r="C47" s="61">
        <f>1+C45</f>
        <v>13</v>
      </c>
      <c r="D47" s="600" t="s">
        <v>35</v>
      </c>
      <c r="E47" s="57"/>
      <c r="F47" s="57"/>
      <c r="G47" s="57"/>
      <c r="H47" s="57"/>
      <c r="I47" s="57"/>
      <c r="J47" s="57"/>
      <c r="K47" s="57"/>
      <c r="L47" s="57"/>
      <c r="M47" s="57"/>
      <c r="N47" s="58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</row>
    <row r="48" spans="1:28" s="65" customFormat="1" ht="15.75">
      <c r="A48" s="70"/>
      <c r="B48" s="56"/>
      <c r="C48" s="61"/>
      <c r="D48" s="600" t="s">
        <v>36</v>
      </c>
      <c r="E48" s="57"/>
      <c r="F48" s="57"/>
      <c r="G48" s="57"/>
      <c r="H48" s="57"/>
      <c r="I48" s="57"/>
      <c r="J48" s="57"/>
      <c r="K48" s="57"/>
      <c r="L48" s="57"/>
      <c r="M48" s="57"/>
      <c r="N48" s="58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</row>
    <row r="49" spans="1:28" s="65" customFormat="1" ht="15.75">
      <c r="A49" s="70"/>
      <c r="B49" s="56"/>
      <c r="C49" s="61"/>
      <c r="D49" s="600" t="s">
        <v>37</v>
      </c>
      <c r="E49" s="57"/>
      <c r="F49" s="57"/>
      <c r="G49" s="57"/>
      <c r="H49" s="57"/>
      <c r="I49" s="57"/>
      <c r="J49" s="57"/>
      <c r="K49" s="57"/>
      <c r="L49" s="57"/>
      <c r="M49" s="57"/>
      <c r="N49" s="58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</row>
    <row r="50" spans="1:28" s="65" customFormat="1" ht="15.75">
      <c r="A50" s="70"/>
      <c r="B50" s="56"/>
      <c r="C50" s="61">
        <f>1+C47</f>
        <v>14</v>
      </c>
      <c r="D50" s="600" t="s">
        <v>28</v>
      </c>
      <c r="E50" s="57"/>
      <c r="F50" s="57"/>
      <c r="G50" s="57"/>
      <c r="H50" s="57"/>
      <c r="I50" s="57"/>
      <c r="J50" s="57"/>
      <c r="K50" s="57"/>
      <c r="L50" s="57"/>
      <c r="M50" s="57"/>
      <c r="N50" s="58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</row>
    <row r="51" spans="1:28" s="65" customFormat="1" ht="15.75">
      <c r="A51" s="70"/>
      <c r="B51" s="56"/>
      <c r="C51" s="61"/>
      <c r="D51" s="600" t="s">
        <v>384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</row>
    <row r="52" spans="1:28" s="65" customFormat="1" ht="15.75">
      <c r="A52" s="70"/>
      <c r="B52" s="56"/>
      <c r="C52" s="61">
        <f>1+C50</f>
        <v>15</v>
      </c>
      <c r="D52" s="600" t="s">
        <v>385</v>
      </c>
      <c r="E52" s="57"/>
      <c r="F52" s="57"/>
      <c r="G52" s="57"/>
      <c r="H52" s="57"/>
      <c r="I52" s="57"/>
      <c r="J52" s="57"/>
      <c r="K52" s="57"/>
      <c r="L52" s="57"/>
      <c r="M52" s="57"/>
      <c r="N52" s="58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</row>
    <row r="53" spans="1:28" s="65" customFormat="1" ht="3.75" customHeight="1">
      <c r="A53" s="70"/>
      <c r="B53" s="56"/>
      <c r="C53" s="61"/>
      <c r="D53" s="608"/>
      <c r="E53" s="57"/>
      <c r="F53" s="57"/>
      <c r="G53" s="57"/>
      <c r="H53" s="57"/>
      <c r="I53" s="57"/>
      <c r="J53" s="57"/>
      <c r="K53" s="57"/>
      <c r="L53" s="57"/>
      <c r="M53" s="57"/>
      <c r="N53" s="58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</row>
    <row r="54" spans="1:28" s="65" customFormat="1" ht="15.75">
      <c r="A54" s="70"/>
      <c r="B54" s="56"/>
      <c r="C54" s="61"/>
      <c r="D54" s="608" t="s">
        <v>386</v>
      </c>
      <c r="E54" s="57"/>
      <c r="F54" s="57"/>
      <c r="G54" s="57"/>
      <c r="H54" s="57"/>
      <c r="I54" s="57"/>
      <c r="J54" s="57"/>
      <c r="K54" s="57"/>
      <c r="L54" s="57"/>
      <c r="M54" s="57"/>
      <c r="N54" s="58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</row>
    <row r="55" spans="1:28" s="65" customFormat="1" ht="15.75">
      <c r="A55" s="70"/>
      <c r="B55" s="56"/>
      <c r="C55" s="61"/>
      <c r="D55" s="608" t="s">
        <v>347</v>
      </c>
      <c r="E55" s="57"/>
      <c r="F55" s="57"/>
      <c r="G55" s="57"/>
      <c r="H55" s="57"/>
      <c r="I55" s="57"/>
      <c r="J55" s="528"/>
      <c r="K55" s="654"/>
      <c r="L55" s="654"/>
      <c r="M55" s="57"/>
      <c r="N55" s="58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</row>
    <row r="56" spans="1:28" s="65" customFormat="1" ht="15.75">
      <c r="A56" s="70"/>
      <c r="B56" s="56"/>
      <c r="C56" s="61"/>
      <c r="D56" s="608" t="s">
        <v>387</v>
      </c>
      <c r="E56" s="57"/>
      <c r="F56" s="57"/>
      <c r="G56" s="57"/>
      <c r="H56" s="57"/>
      <c r="I56" s="57"/>
      <c r="J56" s="528"/>
      <c r="K56" s="663">
        <f>+H7</f>
        <v>2020</v>
      </c>
      <c r="L56" s="663"/>
      <c r="M56" s="57"/>
      <c r="N56" s="58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</row>
    <row r="57" spans="1:28" s="65" customFormat="1" ht="15.75">
      <c r="A57" s="70"/>
      <c r="B57" s="56"/>
      <c r="C57" s="61"/>
      <c r="D57" s="608" t="s">
        <v>348</v>
      </c>
      <c r="E57" s="57"/>
      <c r="F57" s="57"/>
      <c r="G57" s="57"/>
      <c r="H57" s="57"/>
      <c r="I57" s="649">
        <f>+H7</f>
        <v>2020</v>
      </c>
      <c r="J57" s="649"/>
      <c r="K57" s="609" t="s">
        <v>388</v>
      </c>
      <c r="L57" s="647">
        <f>+H7</f>
        <v>2020</v>
      </c>
      <c r="M57" s="647"/>
      <c r="N57" s="58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</row>
    <row r="58" spans="1:28" s="65" customFormat="1" ht="3.75" customHeight="1">
      <c r="A58" s="70"/>
      <c r="B58" s="56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585"/>
      <c r="N58" s="58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</row>
    <row r="59" spans="1:28" s="65" customFormat="1" ht="15.75">
      <c r="A59" s="70"/>
      <c r="B59" s="56"/>
      <c r="C59" s="61"/>
      <c r="D59" s="610" t="s">
        <v>389</v>
      </c>
      <c r="E59" s="671">
        <f>+H7</f>
        <v>2020</v>
      </c>
      <c r="F59" s="671"/>
      <c r="G59" s="671"/>
      <c r="H59" s="671"/>
      <c r="I59" s="671"/>
      <c r="J59" s="671"/>
      <c r="K59" s="611" t="s">
        <v>390</v>
      </c>
      <c r="L59" s="529"/>
      <c r="M59" s="57"/>
      <c r="N59" s="58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</row>
    <row r="60" spans="1:28" s="65" customFormat="1" ht="15.75">
      <c r="A60" s="70"/>
      <c r="B60" s="56"/>
      <c r="C60" s="61"/>
      <c r="D60" s="612" t="s">
        <v>391</v>
      </c>
      <c r="E60" s="672">
        <f>+H7</f>
        <v>2020</v>
      </c>
      <c r="F60" s="672"/>
      <c r="G60" s="672"/>
      <c r="H60" s="672"/>
      <c r="I60" s="672"/>
      <c r="J60" s="672"/>
      <c r="K60" s="613" t="s">
        <v>392</v>
      </c>
      <c r="L60" s="530"/>
      <c r="M60" s="57"/>
      <c r="N60" s="58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</row>
    <row r="61" spans="1:28" s="65" customFormat="1" ht="15.75">
      <c r="A61" s="70"/>
      <c r="B61" s="56"/>
      <c r="C61" s="61"/>
      <c r="D61" s="614" t="s">
        <v>393</v>
      </c>
      <c r="E61" s="665">
        <f>+H7</f>
        <v>2020</v>
      </c>
      <c r="F61" s="665"/>
      <c r="G61" s="665"/>
      <c r="H61" s="665"/>
      <c r="I61" s="665"/>
      <c r="J61" s="665"/>
      <c r="K61" s="615" t="s">
        <v>394</v>
      </c>
      <c r="L61" s="531"/>
      <c r="M61" s="57"/>
      <c r="N61" s="58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</row>
    <row r="62" spans="1:28" s="65" customFormat="1" ht="3.75" customHeight="1">
      <c r="A62" s="70"/>
      <c r="B62" s="56"/>
      <c r="C62" s="61"/>
      <c r="D62" s="608"/>
      <c r="E62" s="57"/>
      <c r="F62" s="57"/>
      <c r="G62" s="57"/>
      <c r="H62" s="57"/>
      <c r="I62" s="57"/>
      <c r="J62" s="57"/>
      <c r="K62" s="57"/>
      <c r="L62" s="57"/>
      <c r="M62" s="57"/>
      <c r="N62" s="58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</row>
    <row r="63" spans="1:28" s="65" customFormat="1" ht="15.75">
      <c r="A63" s="70"/>
      <c r="B63" s="56"/>
      <c r="C63" s="61"/>
      <c r="D63" s="608" t="s">
        <v>395</v>
      </c>
      <c r="E63" s="57"/>
      <c r="F63" s="57"/>
      <c r="G63" s="57"/>
      <c r="H63" s="57"/>
      <c r="I63" s="57"/>
      <c r="J63" s="528"/>
      <c r="K63" s="528"/>
      <c r="L63" s="586">
        <f>+H7</f>
        <v>2020</v>
      </c>
      <c r="M63" s="57"/>
      <c r="N63" s="58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</row>
    <row r="64" spans="1:28" s="65" customFormat="1" ht="3.75" customHeight="1">
      <c r="A64" s="70"/>
      <c r="B64" s="56"/>
      <c r="C64" s="61"/>
      <c r="D64" s="608"/>
      <c r="E64" s="57"/>
      <c r="F64" s="57"/>
      <c r="G64" s="57"/>
      <c r="H64" s="57"/>
      <c r="I64" s="57"/>
      <c r="J64" s="57"/>
      <c r="K64" s="57"/>
      <c r="L64" s="57"/>
      <c r="M64" s="57"/>
      <c r="N64" s="58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</row>
    <row r="65" spans="1:28" s="65" customFormat="1" ht="15.75">
      <c r="A65" s="70"/>
      <c r="B65" s="56"/>
      <c r="C65" s="61"/>
      <c r="D65" s="571" t="s">
        <v>349</v>
      </c>
      <c r="E65" s="572"/>
      <c r="F65" s="572"/>
      <c r="G65" s="572"/>
      <c r="H65" s="572"/>
      <c r="I65" s="572"/>
      <c r="J65" s="572"/>
      <c r="K65" s="567"/>
      <c r="L65" s="568"/>
      <c r="M65" s="57"/>
      <c r="N65" s="58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</row>
    <row r="66" spans="1:28" s="65" customFormat="1" ht="15.75">
      <c r="A66" s="70"/>
      <c r="B66" s="56"/>
      <c r="C66" s="61"/>
      <c r="D66" s="573" t="s">
        <v>350</v>
      </c>
      <c r="E66" s="574"/>
      <c r="F66" s="574"/>
      <c r="G66" s="574"/>
      <c r="H66" s="574"/>
      <c r="I66" s="574"/>
      <c r="J66" s="574"/>
      <c r="K66" s="569"/>
      <c r="L66" s="570"/>
      <c r="M66" s="57"/>
      <c r="N66" s="58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</row>
    <row r="67" spans="1:28" s="65" customFormat="1" ht="3.75" customHeight="1">
      <c r="A67" s="70"/>
      <c r="B67" s="56"/>
      <c r="C67" s="61"/>
      <c r="D67" s="608"/>
      <c r="E67" s="57"/>
      <c r="F67" s="57"/>
      <c r="G67" s="57"/>
      <c r="H67" s="57"/>
      <c r="I67" s="57"/>
      <c r="J67" s="57"/>
      <c r="K67" s="57"/>
      <c r="L67" s="57"/>
      <c r="M67" s="57"/>
      <c r="N67" s="58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</row>
    <row r="68" spans="1:28" s="65" customFormat="1" ht="15.75">
      <c r="A68" s="70"/>
      <c r="B68" s="56"/>
      <c r="C68" s="61"/>
      <c r="D68" s="608" t="s">
        <v>396</v>
      </c>
      <c r="E68" s="57"/>
      <c r="F68" s="57"/>
      <c r="G68" s="57"/>
      <c r="H68" s="57"/>
      <c r="I68" s="57"/>
      <c r="J68" s="57"/>
      <c r="K68" s="57"/>
      <c r="L68" s="57"/>
      <c r="M68" s="57"/>
      <c r="N68" s="58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</row>
    <row r="69" spans="1:28" s="65" customFormat="1" ht="15.75">
      <c r="A69" s="70"/>
      <c r="B69" s="56"/>
      <c r="C69" s="61"/>
      <c r="D69" s="608" t="s">
        <v>397</v>
      </c>
      <c r="E69" s="57"/>
      <c r="F69" s="57"/>
      <c r="G69" s="57"/>
      <c r="H69" s="57"/>
      <c r="I69" s="57"/>
      <c r="J69" s="57"/>
      <c r="K69" s="528"/>
      <c r="L69" s="528"/>
      <c r="M69" s="57"/>
      <c r="N69" s="58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</row>
    <row r="70" spans="1:28" s="65" customFormat="1" ht="15.75">
      <c r="A70" s="70"/>
      <c r="B70" s="56"/>
      <c r="C70" s="61"/>
      <c r="D70" s="608" t="s">
        <v>398</v>
      </c>
      <c r="E70" s="57"/>
      <c r="F70" s="57"/>
      <c r="G70" s="57"/>
      <c r="H70" s="57"/>
      <c r="I70" s="57"/>
      <c r="J70" s="57"/>
      <c r="K70" s="528"/>
      <c r="L70" s="528"/>
      <c r="M70" s="57"/>
      <c r="N70" s="58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</row>
    <row r="71" spans="1:28" s="65" customFormat="1" ht="15.75">
      <c r="A71" s="70"/>
      <c r="B71" s="56"/>
      <c r="C71" s="61"/>
      <c r="D71" s="608" t="s">
        <v>399</v>
      </c>
      <c r="E71" s="57"/>
      <c r="F71" s="57"/>
      <c r="G71" s="57"/>
      <c r="H71" s="57"/>
      <c r="I71" s="57"/>
      <c r="J71" s="57"/>
      <c r="K71" s="528"/>
      <c r="L71" s="528"/>
      <c r="M71" s="57"/>
      <c r="N71" s="58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</row>
    <row r="72" spans="1:28" s="65" customFormat="1" ht="15.75">
      <c r="A72" s="70"/>
      <c r="B72" s="56"/>
      <c r="C72" s="61"/>
      <c r="D72" s="608" t="s">
        <v>400</v>
      </c>
      <c r="E72" s="57"/>
      <c r="F72" s="57"/>
      <c r="G72" s="57"/>
      <c r="H72" s="57"/>
      <c r="I72" s="57"/>
      <c r="J72" s="57"/>
      <c r="K72" s="528"/>
      <c r="L72" s="528"/>
      <c r="M72" s="57"/>
      <c r="N72" s="58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</row>
    <row r="73" spans="1:28" s="65" customFormat="1" ht="15.75">
      <c r="A73" s="70"/>
      <c r="B73" s="56"/>
      <c r="C73" s="61"/>
      <c r="D73" s="608" t="s">
        <v>401</v>
      </c>
      <c r="E73" s="57"/>
      <c r="F73" s="57"/>
      <c r="G73" s="57"/>
      <c r="H73" s="57"/>
      <c r="I73" s="57"/>
      <c r="J73" s="57"/>
      <c r="K73" s="528"/>
      <c r="L73" s="528"/>
      <c r="M73" s="57"/>
      <c r="N73" s="58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</row>
    <row r="74" spans="1:28" s="65" customFormat="1" ht="15.75">
      <c r="A74" s="70"/>
      <c r="B74" s="56"/>
      <c r="C74" s="61"/>
      <c r="D74" s="608" t="s">
        <v>352</v>
      </c>
      <c r="E74" s="57"/>
      <c r="F74" s="57"/>
      <c r="G74" s="57"/>
      <c r="H74" s="57"/>
      <c r="I74" s="57"/>
      <c r="J74" s="57"/>
      <c r="K74" s="528"/>
      <c r="L74" s="528"/>
      <c r="M74" s="57"/>
      <c r="N74" s="58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</row>
    <row r="75" spans="1:28" s="65" customFormat="1" ht="15.75">
      <c r="A75" s="70"/>
      <c r="B75" s="56"/>
      <c r="C75" s="61"/>
      <c r="D75" s="600" t="s">
        <v>402</v>
      </c>
      <c r="E75" s="57"/>
      <c r="F75" s="57"/>
      <c r="G75" s="57"/>
      <c r="H75" s="565"/>
      <c r="I75" s="650">
        <f>+H7</f>
        <v>2020</v>
      </c>
      <c r="J75" s="650"/>
      <c r="K75" s="57" t="s">
        <v>353</v>
      </c>
      <c r="L75" s="57"/>
      <c r="M75" s="57"/>
      <c r="N75" s="58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</row>
    <row r="76" spans="1:28" s="65" customFormat="1" ht="15.75">
      <c r="A76" s="70"/>
      <c r="B76" s="56"/>
      <c r="C76" s="61"/>
      <c r="D76" s="608" t="s">
        <v>351</v>
      </c>
      <c r="E76" s="57"/>
      <c r="F76" s="57"/>
      <c r="G76" s="57"/>
      <c r="H76" s="57"/>
      <c r="I76" s="57"/>
      <c r="J76" s="57"/>
      <c r="K76" s="57"/>
      <c r="L76" s="57"/>
      <c r="M76" s="57"/>
      <c r="N76" s="58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</row>
    <row r="77" spans="1:28" s="65" customFormat="1" ht="15.75" customHeight="1">
      <c r="A77" s="70"/>
      <c r="B77" s="56"/>
      <c r="C77" s="61"/>
      <c r="D77" s="57" t="s">
        <v>403</v>
      </c>
      <c r="E77" s="57"/>
      <c r="F77" s="57"/>
      <c r="G77" s="57"/>
      <c r="H77" s="57"/>
      <c r="I77" s="57"/>
      <c r="J77" s="57"/>
      <c r="K77" s="57"/>
      <c r="L77" s="57"/>
      <c r="M77" s="57"/>
      <c r="N77" s="58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</row>
    <row r="78" spans="1:28" s="65" customFormat="1" ht="3.75" customHeight="1">
      <c r="A78" s="70"/>
      <c r="B78" s="56"/>
      <c r="C78" s="61"/>
      <c r="D78" s="608"/>
      <c r="E78" s="57"/>
      <c r="F78" s="57"/>
      <c r="G78" s="57"/>
      <c r="H78" s="57"/>
      <c r="I78" s="57"/>
      <c r="J78" s="57"/>
      <c r="K78" s="57"/>
      <c r="L78" s="57"/>
      <c r="M78" s="57"/>
      <c r="N78" s="58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</row>
    <row r="79" spans="1:28" s="65" customFormat="1" ht="15.75">
      <c r="A79" s="70"/>
      <c r="B79" s="56"/>
      <c r="C79" s="61"/>
      <c r="D79" s="608" t="s">
        <v>404</v>
      </c>
      <c r="E79" s="57"/>
      <c r="F79" s="57"/>
      <c r="G79" s="57"/>
      <c r="H79" s="57"/>
      <c r="I79" s="57"/>
      <c r="J79" s="57"/>
      <c r="K79" s="57"/>
      <c r="L79" s="57"/>
      <c r="M79" s="57"/>
      <c r="N79" s="58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</row>
    <row r="80" spans="1:28" s="65" customFormat="1" ht="15.75">
      <c r="A80" s="70"/>
      <c r="B80" s="56"/>
      <c r="C80" s="61"/>
      <c r="D80" s="608" t="s">
        <v>347</v>
      </c>
      <c r="E80" s="57"/>
      <c r="F80" s="57"/>
      <c r="G80" s="57"/>
      <c r="H80" s="57"/>
      <c r="I80" s="57"/>
      <c r="J80" s="528"/>
      <c r="K80" s="654"/>
      <c r="L80" s="654"/>
      <c r="M80" s="57"/>
      <c r="N80" s="58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</row>
    <row r="81" spans="1:28" s="65" customFormat="1" ht="15.75">
      <c r="A81" s="70"/>
      <c r="B81" s="56"/>
      <c r="C81" s="61"/>
      <c r="D81" s="608" t="s">
        <v>387</v>
      </c>
      <c r="E81" s="57"/>
      <c r="F81" s="57"/>
      <c r="G81" s="57"/>
      <c r="H81" s="57"/>
      <c r="I81" s="57"/>
      <c r="J81" s="528"/>
      <c r="K81" s="663">
        <f>+H7</f>
        <v>2020</v>
      </c>
      <c r="L81" s="663"/>
      <c r="M81" s="57"/>
      <c r="N81" s="58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</row>
    <row r="82" spans="1:28" s="65" customFormat="1" ht="15.75">
      <c r="A82" s="70"/>
      <c r="B82" s="56"/>
      <c r="C82" s="61"/>
      <c r="D82" s="608" t="s">
        <v>348</v>
      </c>
      <c r="E82" s="57"/>
      <c r="F82" s="57"/>
      <c r="G82" s="57"/>
      <c r="H82" s="57"/>
      <c r="I82" s="649">
        <f>+H7</f>
        <v>2020</v>
      </c>
      <c r="J82" s="649"/>
      <c r="K82" s="609" t="s">
        <v>405</v>
      </c>
      <c r="L82" s="647">
        <f>+H7</f>
        <v>2020</v>
      </c>
      <c r="M82" s="647"/>
      <c r="N82" s="58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</row>
    <row r="83" spans="1:28" s="65" customFormat="1" ht="3.75" customHeight="1">
      <c r="A83" s="70"/>
      <c r="B83" s="56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585"/>
      <c r="N83" s="58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</row>
    <row r="84" spans="1:28" s="65" customFormat="1" ht="15.75">
      <c r="A84" s="70"/>
      <c r="B84" s="56"/>
      <c r="C84" s="61"/>
      <c r="D84" s="610" t="s">
        <v>389</v>
      </c>
      <c r="E84" s="648">
        <f>+H7</f>
        <v>2020</v>
      </c>
      <c r="F84" s="648"/>
      <c r="G84" s="648"/>
      <c r="H84" s="648"/>
      <c r="I84" s="648"/>
      <c r="J84" s="648"/>
      <c r="K84" s="611" t="s">
        <v>406</v>
      </c>
      <c r="L84" s="529"/>
      <c r="M84" s="57"/>
      <c r="N84" s="58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</row>
    <row r="85" spans="1:28" s="65" customFormat="1" ht="15.75">
      <c r="A85" s="70"/>
      <c r="B85" s="56"/>
      <c r="C85" s="61"/>
      <c r="D85" s="612" t="s">
        <v>391</v>
      </c>
      <c r="E85" s="652">
        <f>+H7</f>
        <v>2020</v>
      </c>
      <c r="F85" s="652"/>
      <c r="G85" s="652"/>
      <c r="H85" s="652"/>
      <c r="I85" s="652"/>
      <c r="J85" s="652"/>
      <c r="K85" s="613" t="s">
        <v>407</v>
      </c>
      <c r="L85" s="530"/>
      <c r="M85" s="57"/>
      <c r="N85" s="58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</row>
    <row r="86" spans="1:28" s="65" customFormat="1" ht="15.75">
      <c r="A86" s="70"/>
      <c r="B86" s="56"/>
      <c r="C86" s="61"/>
      <c r="D86" s="614" t="s">
        <v>393</v>
      </c>
      <c r="E86" s="653">
        <f>+H7</f>
        <v>2020</v>
      </c>
      <c r="F86" s="653"/>
      <c r="G86" s="653"/>
      <c r="H86" s="653"/>
      <c r="I86" s="653"/>
      <c r="J86" s="653"/>
      <c r="K86" s="615" t="s">
        <v>408</v>
      </c>
      <c r="L86" s="531"/>
      <c r="M86" s="57"/>
      <c r="N86" s="58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</row>
    <row r="87" spans="1:28" s="65" customFormat="1" ht="3.75" customHeight="1">
      <c r="A87" s="70"/>
      <c r="B87" s="56"/>
      <c r="C87" s="61"/>
      <c r="D87" s="608"/>
      <c r="E87" s="57"/>
      <c r="F87" s="57"/>
      <c r="G87" s="57"/>
      <c r="H87" s="57"/>
      <c r="I87" s="57"/>
      <c r="J87" s="57"/>
      <c r="K87" s="57"/>
      <c r="L87" s="57"/>
      <c r="M87" s="57"/>
      <c r="N87" s="58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</row>
    <row r="88" spans="1:28" s="65" customFormat="1" ht="15.75">
      <c r="A88" s="70"/>
      <c r="B88" s="56"/>
      <c r="C88" s="61"/>
      <c r="D88" s="608" t="s">
        <v>409</v>
      </c>
      <c r="E88" s="57"/>
      <c r="F88" s="57"/>
      <c r="G88" s="57"/>
      <c r="H88" s="57"/>
      <c r="I88" s="57"/>
      <c r="J88" s="528"/>
      <c r="K88" s="528"/>
      <c r="L88" s="586">
        <f>+H7</f>
        <v>2020</v>
      </c>
      <c r="M88" s="57"/>
      <c r="N88" s="58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</row>
    <row r="89" spans="1:28" s="65" customFormat="1" ht="3.75" customHeight="1">
      <c r="A89" s="70"/>
      <c r="B89" s="56"/>
      <c r="C89" s="61"/>
      <c r="D89" s="608"/>
      <c r="E89" s="57"/>
      <c r="F89" s="57"/>
      <c r="G89" s="57"/>
      <c r="H89" s="57"/>
      <c r="I89" s="57"/>
      <c r="J89" s="57"/>
      <c r="K89" s="57"/>
      <c r="L89" s="57"/>
      <c r="M89" s="57"/>
      <c r="N89" s="58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</row>
    <row r="90" spans="1:28" s="65" customFormat="1" ht="15.75">
      <c r="A90" s="70"/>
      <c r="B90" s="56"/>
      <c r="C90" s="61"/>
      <c r="D90" s="571" t="s">
        <v>349</v>
      </c>
      <c r="E90" s="572"/>
      <c r="F90" s="572"/>
      <c r="G90" s="572"/>
      <c r="H90" s="572"/>
      <c r="I90" s="572"/>
      <c r="J90" s="572"/>
      <c r="K90" s="567"/>
      <c r="L90" s="568"/>
      <c r="M90" s="57"/>
      <c r="N90" s="58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</row>
    <row r="91" spans="1:28" s="65" customFormat="1" ht="15.75">
      <c r="A91" s="70"/>
      <c r="B91" s="56"/>
      <c r="C91" s="61"/>
      <c r="D91" s="573" t="s">
        <v>350</v>
      </c>
      <c r="E91" s="574"/>
      <c r="F91" s="574"/>
      <c r="G91" s="574"/>
      <c r="H91" s="574"/>
      <c r="I91" s="574"/>
      <c r="J91" s="574"/>
      <c r="K91" s="569"/>
      <c r="L91" s="570"/>
      <c r="M91" s="57"/>
      <c r="N91" s="58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</row>
    <row r="92" spans="1:28" s="65" customFormat="1" ht="7.5" customHeight="1">
      <c r="A92" s="70"/>
      <c r="B92" s="56"/>
      <c r="C92" s="61"/>
      <c r="D92" s="608"/>
      <c r="E92" s="57"/>
      <c r="F92" s="57"/>
      <c r="G92" s="57"/>
      <c r="H92" s="57"/>
      <c r="I92" s="57"/>
      <c r="J92" s="57"/>
      <c r="K92" s="57"/>
      <c r="L92" s="57"/>
      <c r="M92" s="57"/>
      <c r="N92" s="58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</row>
    <row r="93" spans="1:28" s="65" customFormat="1" ht="15.75">
      <c r="A93" s="70"/>
      <c r="B93" s="56"/>
      <c r="C93" s="61">
        <f>1+C52</f>
        <v>16</v>
      </c>
      <c r="D93" s="600" t="s">
        <v>410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</row>
    <row r="94" spans="1:28" s="65" customFormat="1" ht="3.75" customHeight="1">
      <c r="A94" s="70"/>
      <c r="B94" s="56"/>
      <c r="C94" s="61"/>
      <c r="D94" s="608"/>
      <c r="E94" s="57"/>
      <c r="F94" s="57"/>
      <c r="G94" s="57"/>
      <c r="H94" s="57"/>
      <c r="I94" s="57"/>
      <c r="J94" s="57"/>
      <c r="K94" s="57"/>
      <c r="L94" s="57"/>
      <c r="M94" s="57"/>
      <c r="N94" s="58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</row>
    <row r="95" spans="1:28" s="65" customFormat="1" ht="15.75">
      <c r="A95" s="70"/>
      <c r="B95" s="56"/>
      <c r="C95" s="61"/>
      <c r="D95" s="608" t="s">
        <v>411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</row>
    <row r="96" spans="1:28" s="65" customFormat="1" ht="15.75">
      <c r="A96" s="70"/>
      <c r="B96" s="56"/>
      <c r="C96" s="61"/>
      <c r="D96" s="608" t="s">
        <v>347</v>
      </c>
      <c r="E96" s="57"/>
      <c r="F96" s="57"/>
      <c r="G96" s="57"/>
      <c r="H96" s="57"/>
      <c r="I96" s="57"/>
      <c r="J96" s="528"/>
      <c r="K96" s="654"/>
      <c r="L96" s="654"/>
      <c r="M96" s="57"/>
      <c r="N96" s="58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</row>
    <row r="97" spans="1:28" s="65" customFormat="1" ht="15.75">
      <c r="A97" s="70"/>
      <c r="B97" s="56"/>
      <c r="C97" s="61"/>
      <c r="D97" s="608" t="s">
        <v>387</v>
      </c>
      <c r="E97" s="57"/>
      <c r="F97" s="57"/>
      <c r="G97" s="57"/>
      <c r="H97" s="57"/>
      <c r="I97" s="57"/>
      <c r="J97" s="528"/>
      <c r="K97" s="655">
        <f>+H7-1</f>
        <v>2019</v>
      </c>
      <c r="L97" s="655"/>
      <c r="M97" s="57"/>
      <c r="N97" s="58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</row>
    <row r="98" spans="1:28" s="65" customFormat="1" ht="15.75">
      <c r="A98" s="70"/>
      <c r="B98" s="56"/>
      <c r="C98" s="61"/>
      <c r="D98" s="608" t="s">
        <v>315</v>
      </c>
      <c r="E98" s="57"/>
      <c r="F98" s="57"/>
      <c r="G98" s="57"/>
      <c r="H98" s="57"/>
      <c r="I98" s="662">
        <f>+H7-1</f>
        <v>2019</v>
      </c>
      <c r="J98" s="662"/>
      <c r="K98" s="609" t="s">
        <v>388</v>
      </c>
      <c r="L98" s="647">
        <f>+H7</f>
        <v>2020</v>
      </c>
      <c r="M98" s="647"/>
      <c r="N98" s="58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</row>
    <row r="99" spans="1:28" s="65" customFormat="1" ht="3.75" customHeight="1">
      <c r="A99" s="70"/>
      <c r="B99" s="56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585"/>
      <c r="N99" s="58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</row>
    <row r="100" spans="1:28" s="65" customFormat="1" ht="15.75">
      <c r="A100" s="70"/>
      <c r="B100" s="56"/>
      <c r="C100" s="61"/>
      <c r="D100" s="616" t="s">
        <v>389</v>
      </c>
      <c r="E100" s="664">
        <f>+H7-1</f>
        <v>2019</v>
      </c>
      <c r="F100" s="664"/>
      <c r="G100" s="664"/>
      <c r="H100" s="664"/>
      <c r="I100" s="664"/>
      <c r="J100" s="664"/>
      <c r="K100" s="617" t="s">
        <v>412</v>
      </c>
      <c r="L100" s="532"/>
      <c r="M100" s="57"/>
      <c r="N100" s="58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</row>
    <row r="101" spans="1:28" s="65" customFormat="1" ht="15.75">
      <c r="A101" s="70"/>
      <c r="B101" s="56"/>
      <c r="C101" s="61"/>
      <c r="D101" s="618" t="s">
        <v>391</v>
      </c>
      <c r="E101" s="651">
        <f>+H7-1</f>
        <v>2019</v>
      </c>
      <c r="F101" s="651"/>
      <c r="G101" s="651"/>
      <c r="H101" s="651"/>
      <c r="I101" s="651"/>
      <c r="J101" s="651"/>
      <c r="K101" s="619" t="s">
        <v>413</v>
      </c>
      <c r="L101" s="533"/>
      <c r="M101" s="57"/>
      <c r="N101" s="58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</row>
    <row r="102" spans="1:28" s="65" customFormat="1" ht="15.75">
      <c r="A102" s="70"/>
      <c r="B102" s="56"/>
      <c r="C102" s="61"/>
      <c r="D102" s="620" t="s">
        <v>393</v>
      </c>
      <c r="E102" s="670">
        <f>+H7-1</f>
        <v>2019</v>
      </c>
      <c r="F102" s="670"/>
      <c r="G102" s="670"/>
      <c r="H102" s="670"/>
      <c r="I102" s="670"/>
      <c r="J102" s="670"/>
      <c r="K102" s="621" t="s">
        <v>414</v>
      </c>
      <c r="L102" s="534"/>
      <c r="M102" s="57"/>
      <c r="N102" s="58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</row>
    <row r="103" spans="1:28" s="65" customFormat="1" ht="3.75" customHeight="1">
      <c r="A103" s="70"/>
      <c r="B103" s="56"/>
      <c r="C103" s="61"/>
      <c r="D103" s="608"/>
      <c r="E103" s="57"/>
      <c r="F103" s="57"/>
      <c r="G103" s="57"/>
      <c r="H103" s="57"/>
      <c r="I103" s="57"/>
      <c r="J103" s="57"/>
      <c r="K103" s="57"/>
      <c r="L103" s="57"/>
      <c r="M103" s="57"/>
      <c r="N103" s="58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</row>
    <row r="104" spans="1:28" s="65" customFormat="1" ht="15.75">
      <c r="A104" s="70"/>
      <c r="B104" s="56"/>
      <c r="C104" s="61"/>
      <c r="D104" s="608" t="s">
        <v>395</v>
      </c>
      <c r="E104" s="57"/>
      <c r="F104" s="57"/>
      <c r="G104" s="57"/>
      <c r="H104" s="57"/>
      <c r="I104" s="57"/>
      <c r="J104" s="528"/>
      <c r="K104" s="528"/>
      <c r="L104" s="606">
        <f>H7-1</f>
        <v>2019</v>
      </c>
      <c r="M104" s="57"/>
      <c r="N104" s="58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</row>
    <row r="105" spans="1:28" s="65" customFormat="1" ht="3.75" customHeight="1">
      <c r="A105" s="70"/>
      <c r="B105" s="56"/>
      <c r="C105" s="61"/>
      <c r="D105" s="608"/>
      <c r="E105" s="57"/>
      <c r="F105" s="57"/>
      <c r="G105" s="57"/>
      <c r="H105" s="57"/>
      <c r="I105" s="57"/>
      <c r="J105" s="57"/>
      <c r="K105" s="57"/>
      <c r="L105" s="57"/>
      <c r="M105" s="57"/>
      <c r="N105" s="58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</row>
    <row r="106" spans="1:28" s="65" customFormat="1" ht="15.75">
      <c r="A106" s="70"/>
      <c r="B106" s="56"/>
      <c r="C106" s="61"/>
      <c r="D106" s="571" t="s">
        <v>349</v>
      </c>
      <c r="E106" s="572"/>
      <c r="F106" s="572"/>
      <c r="G106" s="572"/>
      <c r="H106" s="572"/>
      <c r="I106" s="572"/>
      <c r="J106" s="572"/>
      <c r="K106" s="567"/>
      <c r="L106" s="568"/>
      <c r="M106" s="57"/>
      <c r="N106" s="58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</row>
    <row r="107" spans="1:28" s="65" customFormat="1" ht="15.75">
      <c r="A107" s="70"/>
      <c r="B107" s="56"/>
      <c r="C107" s="61"/>
      <c r="D107" s="573" t="s">
        <v>350</v>
      </c>
      <c r="E107" s="574"/>
      <c r="F107" s="574"/>
      <c r="G107" s="574"/>
      <c r="H107" s="574"/>
      <c r="I107" s="574"/>
      <c r="J107" s="574"/>
      <c r="K107" s="569"/>
      <c r="L107" s="570"/>
      <c r="M107" s="57"/>
      <c r="N107" s="58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</row>
    <row r="108" spans="1:28" s="65" customFormat="1" ht="3.75" customHeight="1">
      <c r="A108" s="70"/>
      <c r="B108" s="56"/>
      <c r="C108" s="61"/>
      <c r="D108" s="608"/>
      <c r="E108" s="57"/>
      <c r="F108" s="57"/>
      <c r="G108" s="57"/>
      <c r="H108" s="57"/>
      <c r="I108" s="57"/>
      <c r="J108" s="57"/>
      <c r="K108" s="57"/>
      <c r="L108" s="57"/>
      <c r="M108" s="57"/>
      <c r="N108" s="58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</row>
    <row r="109" spans="1:28" s="65" customFormat="1" ht="15.75">
      <c r="A109" s="70"/>
      <c r="B109" s="56"/>
      <c r="C109" s="61"/>
      <c r="D109" s="608" t="s">
        <v>415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8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</row>
    <row r="110" spans="1:28" s="65" customFormat="1" ht="15.75">
      <c r="A110" s="70"/>
      <c r="B110" s="56"/>
      <c r="C110" s="61"/>
      <c r="D110" s="608" t="s">
        <v>397</v>
      </c>
      <c r="E110" s="57"/>
      <c r="F110" s="57"/>
      <c r="G110" s="57"/>
      <c r="H110" s="57"/>
      <c r="I110" s="57"/>
      <c r="J110" s="57"/>
      <c r="K110" s="528"/>
      <c r="L110" s="528"/>
      <c r="M110" s="57"/>
      <c r="N110" s="58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</row>
    <row r="111" spans="1:28" s="65" customFormat="1" ht="15.75">
      <c r="A111" s="70"/>
      <c r="B111" s="56"/>
      <c r="C111" s="61"/>
      <c r="D111" s="608" t="s">
        <v>398</v>
      </c>
      <c r="E111" s="57"/>
      <c r="F111" s="57"/>
      <c r="G111" s="57"/>
      <c r="H111" s="57"/>
      <c r="I111" s="57"/>
      <c r="J111" s="57"/>
      <c r="K111" s="528"/>
      <c r="L111" s="528"/>
      <c r="M111" s="57"/>
      <c r="N111" s="58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</row>
    <row r="112" spans="1:28" s="65" customFormat="1" ht="15.75">
      <c r="A112" s="70"/>
      <c r="B112" s="56"/>
      <c r="C112" s="61"/>
      <c r="D112" s="608" t="s">
        <v>399</v>
      </c>
      <c r="E112" s="57"/>
      <c r="F112" s="57"/>
      <c r="G112" s="57"/>
      <c r="H112" s="57"/>
      <c r="I112" s="57"/>
      <c r="J112" s="57"/>
      <c r="K112" s="528"/>
      <c r="L112" s="528"/>
      <c r="M112" s="57"/>
      <c r="N112" s="58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</row>
    <row r="113" spans="1:28" s="65" customFormat="1" ht="15.75">
      <c r="A113" s="70"/>
      <c r="B113" s="56"/>
      <c r="C113" s="61"/>
      <c r="D113" s="608" t="s">
        <v>400</v>
      </c>
      <c r="E113" s="57"/>
      <c r="F113" s="57"/>
      <c r="G113" s="57"/>
      <c r="H113" s="57"/>
      <c r="I113" s="57"/>
      <c r="J113" s="57"/>
      <c r="K113" s="528"/>
      <c r="L113" s="528"/>
      <c r="M113" s="57"/>
      <c r="N113" s="58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</row>
    <row r="114" spans="1:28" s="65" customFormat="1" ht="15.75">
      <c r="A114" s="70"/>
      <c r="B114" s="56"/>
      <c r="C114" s="61"/>
      <c r="D114" s="608" t="s">
        <v>401</v>
      </c>
      <c r="E114" s="57"/>
      <c r="F114" s="57"/>
      <c r="G114" s="57"/>
      <c r="H114" s="57"/>
      <c r="I114" s="57"/>
      <c r="J114" s="57"/>
      <c r="K114" s="528"/>
      <c r="L114" s="528"/>
      <c r="M114" s="57"/>
      <c r="N114" s="58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</row>
    <row r="115" spans="1:28" s="65" customFormat="1" ht="15.75">
      <c r="A115" s="70"/>
      <c r="B115" s="56"/>
      <c r="C115" s="61"/>
      <c r="D115" s="608" t="s">
        <v>416</v>
      </c>
      <c r="E115" s="57"/>
      <c r="F115" s="57"/>
      <c r="G115" s="57"/>
      <c r="H115" s="57"/>
      <c r="I115" s="57"/>
      <c r="J115" s="57"/>
      <c r="K115" s="606">
        <f>+H7-1</f>
        <v>2019</v>
      </c>
      <c r="L115" s="622" t="s">
        <v>316</v>
      </c>
      <c r="M115" s="57"/>
      <c r="N115" s="58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</row>
    <row r="116" spans="1:28" s="65" customFormat="1" ht="15.75">
      <c r="A116" s="70"/>
      <c r="B116" s="56"/>
      <c r="C116" s="61"/>
      <c r="D116" s="600" t="s">
        <v>402</v>
      </c>
      <c r="E116" s="57"/>
      <c r="F116" s="57"/>
      <c r="G116" s="57"/>
      <c r="H116" s="535"/>
      <c r="I116" s="650">
        <f>+H7</f>
        <v>2020</v>
      </c>
      <c r="J116" s="650"/>
      <c r="K116" s="57" t="s">
        <v>417</v>
      </c>
      <c r="L116" s="57"/>
      <c r="M116" s="57"/>
      <c r="N116" s="58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</row>
    <row r="117" spans="1:28" s="65" customFormat="1" ht="15.75">
      <c r="A117" s="70"/>
      <c r="B117" s="56"/>
      <c r="C117" s="61"/>
      <c r="D117" s="608" t="s">
        <v>351</v>
      </c>
      <c r="E117" s="57"/>
      <c r="F117" s="57"/>
      <c r="G117" s="57"/>
      <c r="H117" s="57"/>
      <c r="I117" s="57"/>
      <c r="J117" s="57"/>
      <c r="K117" s="57"/>
      <c r="L117" s="57"/>
      <c r="M117" s="57"/>
      <c r="N117" s="58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</row>
    <row r="118" spans="1:28" s="65" customFormat="1" ht="15.75" customHeight="1">
      <c r="A118" s="70"/>
      <c r="B118" s="56"/>
      <c r="C118" s="61"/>
      <c r="D118" s="57" t="s">
        <v>403</v>
      </c>
      <c r="E118" s="57"/>
      <c r="F118" s="57"/>
      <c r="G118" s="57"/>
      <c r="H118" s="57"/>
      <c r="I118" s="57"/>
      <c r="J118" s="57"/>
      <c r="K118" s="57"/>
      <c r="L118" s="57"/>
      <c r="M118" s="57"/>
      <c r="N118" s="58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</row>
    <row r="119" spans="1:28" s="65" customFormat="1" ht="3.75" customHeight="1">
      <c r="A119" s="70"/>
      <c r="B119" s="56"/>
      <c r="C119" s="61"/>
      <c r="D119" s="608"/>
      <c r="E119" s="57"/>
      <c r="F119" s="57"/>
      <c r="G119" s="57"/>
      <c r="H119" s="57"/>
      <c r="I119" s="57"/>
      <c r="J119" s="57"/>
      <c r="K119" s="57"/>
      <c r="L119" s="57"/>
      <c r="M119" s="57"/>
      <c r="N119" s="58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</row>
    <row r="120" spans="1:28" s="65" customFormat="1" ht="15.75">
      <c r="A120" s="70"/>
      <c r="B120" s="56"/>
      <c r="C120" s="61"/>
      <c r="D120" s="608" t="s">
        <v>418</v>
      </c>
      <c r="E120" s="57"/>
      <c r="F120" s="57"/>
      <c r="G120" s="57"/>
      <c r="H120" s="57"/>
      <c r="I120" s="57"/>
      <c r="J120" s="57"/>
      <c r="K120" s="57"/>
      <c r="L120" s="57"/>
      <c r="M120" s="57"/>
      <c r="N120" s="58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</row>
    <row r="121" spans="1:28" s="65" customFormat="1" ht="15.75">
      <c r="A121" s="70"/>
      <c r="B121" s="56"/>
      <c r="C121" s="61"/>
      <c r="D121" s="608" t="s">
        <v>347</v>
      </c>
      <c r="E121" s="57"/>
      <c r="F121" s="57"/>
      <c r="G121" s="57"/>
      <c r="H121" s="57"/>
      <c r="I121" s="57"/>
      <c r="J121" s="528"/>
      <c r="K121" s="654"/>
      <c r="L121" s="654"/>
      <c r="M121" s="57"/>
      <c r="N121" s="58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</row>
    <row r="122" spans="1:28" s="65" customFormat="1" ht="15.75">
      <c r="A122" s="70"/>
      <c r="B122" s="56"/>
      <c r="C122" s="61"/>
      <c r="D122" s="608" t="s">
        <v>387</v>
      </c>
      <c r="E122" s="57"/>
      <c r="F122" s="57"/>
      <c r="G122" s="57"/>
      <c r="H122" s="57"/>
      <c r="I122" s="57"/>
      <c r="J122" s="528"/>
      <c r="K122" s="655">
        <f>+H7-1</f>
        <v>2019</v>
      </c>
      <c r="L122" s="655"/>
      <c r="M122" s="57"/>
      <c r="N122" s="58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</row>
    <row r="123" spans="1:28" s="65" customFormat="1" ht="15.75">
      <c r="A123" s="70"/>
      <c r="B123" s="56"/>
      <c r="C123" s="61"/>
      <c r="D123" s="608" t="s">
        <v>315</v>
      </c>
      <c r="E123" s="57"/>
      <c r="F123" s="57"/>
      <c r="G123" s="57"/>
      <c r="H123" s="57"/>
      <c r="I123" s="662">
        <f>+H7-1</f>
        <v>2019</v>
      </c>
      <c r="J123" s="662"/>
      <c r="K123" s="609" t="s">
        <v>405</v>
      </c>
      <c r="L123" s="647">
        <f>+H7</f>
        <v>2020</v>
      </c>
      <c r="M123" s="647"/>
      <c r="N123" s="58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</row>
    <row r="124" spans="1:28" s="65" customFormat="1" ht="3.75" customHeight="1">
      <c r="A124" s="70"/>
      <c r="B124" s="56"/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585"/>
      <c r="N124" s="58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</row>
    <row r="125" spans="1:28" s="65" customFormat="1" ht="15.75">
      <c r="A125" s="70"/>
      <c r="B125" s="56"/>
      <c r="C125" s="61"/>
      <c r="D125" s="616" t="s">
        <v>389</v>
      </c>
      <c r="E125" s="659">
        <f>+H7-1</f>
        <v>2019</v>
      </c>
      <c r="F125" s="659"/>
      <c r="G125" s="659"/>
      <c r="H125" s="659"/>
      <c r="I125" s="659"/>
      <c r="J125" s="659"/>
      <c r="K125" s="617" t="s">
        <v>419</v>
      </c>
      <c r="L125" s="532"/>
      <c r="M125" s="57"/>
      <c r="N125" s="58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</row>
    <row r="126" spans="1:28" s="65" customFormat="1" ht="15.75">
      <c r="A126" s="70"/>
      <c r="B126" s="56"/>
      <c r="C126" s="61"/>
      <c r="D126" s="618" t="s">
        <v>391</v>
      </c>
      <c r="E126" s="657">
        <f>+H7-1</f>
        <v>2019</v>
      </c>
      <c r="F126" s="657"/>
      <c r="G126" s="657"/>
      <c r="H126" s="657"/>
      <c r="I126" s="657"/>
      <c r="J126" s="657"/>
      <c r="K126" s="619" t="s">
        <v>420</v>
      </c>
      <c r="L126" s="533"/>
      <c r="M126" s="57"/>
      <c r="N126" s="58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</row>
    <row r="127" spans="1:28" s="65" customFormat="1" ht="15.75">
      <c r="A127" s="70"/>
      <c r="B127" s="56"/>
      <c r="C127" s="61"/>
      <c r="D127" s="620" t="s">
        <v>393</v>
      </c>
      <c r="E127" s="658">
        <f>+H7-1</f>
        <v>2019</v>
      </c>
      <c r="F127" s="658"/>
      <c r="G127" s="658"/>
      <c r="H127" s="658"/>
      <c r="I127" s="658"/>
      <c r="J127" s="658"/>
      <c r="K127" s="621" t="s">
        <v>421</v>
      </c>
      <c r="L127" s="534"/>
      <c r="M127" s="57"/>
      <c r="N127" s="58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</row>
    <row r="128" spans="1:28" s="65" customFormat="1" ht="3.75" customHeight="1">
      <c r="A128" s="70"/>
      <c r="B128" s="56"/>
      <c r="C128" s="61"/>
      <c r="D128" s="608"/>
      <c r="E128" s="57"/>
      <c r="F128" s="57"/>
      <c r="G128" s="57"/>
      <c r="H128" s="57"/>
      <c r="I128" s="57"/>
      <c r="J128" s="57"/>
      <c r="K128" s="57"/>
      <c r="L128" s="57"/>
      <c r="M128" s="57"/>
      <c r="N128" s="58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</row>
    <row r="129" spans="1:28" s="65" customFormat="1" ht="15.75">
      <c r="A129" s="70"/>
      <c r="B129" s="56"/>
      <c r="C129" s="61"/>
      <c r="D129" s="608" t="s">
        <v>409</v>
      </c>
      <c r="E129" s="57"/>
      <c r="F129" s="57"/>
      <c r="G129" s="57"/>
      <c r="H129" s="57"/>
      <c r="I129" s="57"/>
      <c r="J129" s="528"/>
      <c r="K129" s="528"/>
      <c r="L129" s="606">
        <f>+H7-1</f>
        <v>2019</v>
      </c>
      <c r="M129" s="57"/>
      <c r="N129" s="58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</row>
    <row r="130" spans="1:28" s="65" customFormat="1" ht="3.75" customHeight="1">
      <c r="A130" s="70"/>
      <c r="B130" s="56"/>
      <c r="C130" s="61"/>
      <c r="D130" s="608"/>
      <c r="E130" s="57"/>
      <c r="F130" s="57"/>
      <c r="G130" s="57"/>
      <c r="H130" s="57"/>
      <c r="I130" s="57"/>
      <c r="J130" s="57"/>
      <c r="K130" s="57"/>
      <c r="L130" s="57"/>
      <c r="M130" s="57"/>
      <c r="N130" s="58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</row>
    <row r="131" spans="1:28" s="65" customFormat="1" ht="15.75">
      <c r="A131" s="70"/>
      <c r="B131" s="56"/>
      <c r="C131" s="61"/>
      <c r="D131" s="571" t="s">
        <v>349</v>
      </c>
      <c r="E131" s="572"/>
      <c r="F131" s="572"/>
      <c r="G131" s="572"/>
      <c r="H131" s="572"/>
      <c r="I131" s="572"/>
      <c r="J131" s="572"/>
      <c r="K131" s="567"/>
      <c r="L131" s="568"/>
      <c r="M131" s="57"/>
      <c r="N131" s="58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</row>
    <row r="132" spans="1:28" s="65" customFormat="1" ht="15.75">
      <c r="A132" s="70"/>
      <c r="B132" s="56"/>
      <c r="C132" s="61"/>
      <c r="D132" s="573" t="s">
        <v>350</v>
      </c>
      <c r="E132" s="574"/>
      <c r="F132" s="574"/>
      <c r="G132" s="574"/>
      <c r="H132" s="574"/>
      <c r="I132" s="574"/>
      <c r="J132" s="574"/>
      <c r="K132" s="569"/>
      <c r="L132" s="570"/>
      <c r="M132" s="57"/>
      <c r="N132" s="58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</row>
    <row r="133" spans="1:28" s="65" customFormat="1" ht="7.5" customHeight="1">
      <c r="A133" s="70"/>
      <c r="B133" s="56"/>
      <c r="C133" s="61"/>
      <c r="D133" s="608"/>
      <c r="E133" s="57"/>
      <c r="F133" s="57"/>
      <c r="G133" s="57"/>
      <c r="H133" s="57"/>
      <c r="I133" s="57"/>
      <c r="J133" s="57"/>
      <c r="K133" s="57"/>
      <c r="L133" s="57"/>
      <c r="M133" s="57"/>
      <c r="N133" s="58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</row>
    <row r="134" spans="1:28" s="65" customFormat="1" ht="15.75">
      <c r="A134" s="70"/>
      <c r="B134" s="56"/>
      <c r="C134" s="61">
        <f>1+C93</f>
        <v>17</v>
      </c>
      <c r="D134" s="600" t="s">
        <v>333</v>
      </c>
      <c r="E134" s="57"/>
      <c r="F134" s="57"/>
      <c r="G134" s="57"/>
      <c r="H134" s="57"/>
      <c r="I134" s="57"/>
      <c r="J134" s="57"/>
      <c r="K134" s="57"/>
      <c r="L134" s="57"/>
      <c r="M134" s="57"/>
      <c r="N134" s="58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</row>
    <row r="135" spans="1:28" s="65" customFormat="1" ht="15.75">
      <c r="A135" s="70"/>
      <c r="B135" s="56"/>
      <c r="C135" s="61"/>
      <c r="D135" s="600" t="s">
        <v>422</v>
      </c>
      <c r="E135" s="57"/>
      <c r="F135" s="57"/>
      <c r="G135" s="57"/>
      <c r="H135" s="57"/>
      <c r="I135" s="57"/>
      <c r="J135" s="57"/>
      <c r="K135" s="57"/>
      <c r="L135" s="57"/>
      <c r="M135" s="57"/>
      <c r="N135" s="58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</row>
    <row r="136" spans="1:28" s="65" customFormat="1" ht="15.75">
      <c r="A136" s="70"/>
      <c r="B136" s="56"/>
      <c r="C136" s="61"/>
      <c r="D136" s="608" t="s">
        <v>334</v>
      </c>
      <c r="E136" s="57"/>
      <c r="F136" s="528"/>
      <c r="G136" s="528"/>
      <c r="H136" s="564"/>
      <c r="I136" s="564"/>
      <c r="J136" s="661">
        <f>+H7</f>
        <v>2020</v>
      </c>
      <c r="K136" s="661"/>
      <c r="L136" s="661"/>
      <c r="M136" s="57" t="s">
        <v>335</v>
      </c>
      <c r="N136" s="58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</row>
    <row r="137" spans="1:28" s="65" customFormat="1" ht="15.75">
      <c r="A137" s="70"/>
      <c r="B137" s="56"/>
      <c r="C137" s="61"/>
      <c r="D137" s="608" t="s">
        <v>336</v>
      </c>
      <c r="E137" s="57"/>
      <c r="F137" s="57"/>
      <c r="G137" s="57"/>
      <c r="H137" s="649">
        <f>+H7</f>
        <v>2020</v>
      </c>
      <c r="I137" s="649"/>
      <c r="J137" s="57" t="s">
        <v>337</v>
      </c>
      <c r="K137" s="57"/>
      <c r="L137" s="57"/>
      <c r="M137" s="57"/>
      <c r="N137" s="58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</row>
    <row r="138" spans="1:28" s="65" customFormat="1" ht="15.75">
      <c r="A138" s="70"/>
      <c r="B138" s="56"/>
      <c r="C138" s="61"/>
      <c r="D138" s="600" t="s">
        <v>423</v>
      </c>
      <c r="E138" s="57"/>
      <c r="F138" s="57"/>
      <c r="G138" s="565"/>
      <c r="H138" s="565"/>
      <c r="I138" s="650">
        <f>+H7</f>
        <v>2020</v>
      </c>
      <c r="J138" s="650"/>
      <c r="K138" s="57" t="s">
        <v>338</v>
      </c>
      <c r="L138" s="57"/>
      <c r="M138" s="57"/>
      <c r="N138" s="58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</row>
    <row r="139" spans="1:28" s="65" customFormat="1" ht="3.75" customHeight="1">
      <c r="A139" s="70"/>
      <c r="B139" s="56"/>
      <c r="C139" s="61"/>
      <c r="D139" s="608"/>
      <c r="E139" s="57"/>
      <c r="F139" s="57"/>
      <c r="G139" s="57"/>
      <c r="H139" s="57"/>
      <c r="I139" s="57"/>
      <c r="J139" s="57"/>
      <c r="K139" s="57"/>
      <c r="L139" s="57"/>
      <c r="M139" s="57"/>
      <c r="N139" s="58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</row>
    <row r="140" spans="1:28" s="65" customFormat="1" ht="15.75">
      <c r="A140" s="70"/>
      <c r="B140" s="56"/>
      <c r="C140" s="61"/>
      <c r="D140" s="608" t="s">
        <v>424</v>
      </c>
      <c r="E140" s="57"/>
      <c r="F140" s="57"/>
      <c r="G140" s="57"/>
      <c r="H140" s="57"/>
      <c r="I140" s="57"/>
      <c r="J140" s="57"/>
      <c r="K140" s="57"/>
      <c r="L140" s="57"/>
      <c r="M140" s="57"/>
      <c r="N140" s="58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</row>
    <row r="141" spans="1:28" s="65" customFormat="1" ht="15.75">
      <c r="A141" s="70"/>
      <c r="B141" s="56"/>
      <c r="C141" s="61"/>
      <c r="D141" s="600" t="s">
        <v>425</v>
      </c>
      <c r="E141" s="57"/>
      <c r="F141" s="57"/>
      <c r="G141" s="57"/>
      <c r="H141" s="57"/>
      <c r="I141" s="57"/>
      <c r="J141" s="57"/>
      <c r="K141" s="57"/>
      <c r="L141" s="57"/>
      <c r="M141" s="57"/>
      <c r="N141" s="58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</row>
    <row r="142" spans="1:28" s="65" customFormat="1" ht="3.75" customHeight="1">
      <c r="A142" s="70"/>
      <c r="B142" s="56"/>
      <c r="C142" s="61"/>
      <c r="D142" s="608"/>
      <c r="E142" s="57"/>
      <c r="F142" s="57"/>
      <c r="G142" s="57"/>
      <c r="H142" s="57"/>
      <c r="I142" s="57"/>
      <c r="J142" s="57"/>
      <c r="K142" s="57"/>
      <c r="L142" s="57"/>
      <c r="M142" s="57"/>
      <c r="N142" s="58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</row>
    <row r="143" spans="1:28" s="65" customFormat="1" ht="15.75">
      <c r="A143" s="70"/>
      <c r="B143" s="56"/>
      <c r="C143" s="61"/>
      <c r="D143" s="608" t="s">
        <v>426</v>
      </c>
      <c r="E143" s="57"/>
      <c r="F143" s="57"/>
      <c r="G143" s="57"/>
      <c r="H143" s="57"/>
      <c r="I143" s="57"/>
      <c r="J143" s="57"/>
      <c r="K143" s="57"/>
      <c r="L143" s="57"/>
      <c r="M143" s="57"/>
      <c r="N143" s="58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</row>
    <row r="144" spans="1:28" s="65" customFormat="1" ht="15.75">
      <c r="A144" s="70"/>
      <c r="B144" s="56"/>
      <c r="C144" s="61"/>
      <c r="D144" s="600" t="s">
        <v>346</v>
      </c>
      <c r="E144" s="57"/>
      <c r="F144" s="57"/>
      <c r="G144" s="57"/>
      <c r="H144" s="57"/>
      <c r="I144" s="57"/>
      <c r="J144" s="681">
        <f>+H7</f>
        <v>2020</v>
      </c>
      <c r="K144" s="681"/>
      <c r="L144" s="681"/>
      <c r="M144" s="57"/>
      <c r="N144" s="58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</row>
    <row r="145" spans="1:28" s="65" customFormat="1" ht="15.75">
      <c r="A145" s="70"/>
      <c r="B145" s="56"/>
      <c r="C145" s="61"/>
      <c r="D145" s="608" t="s">
        <v>315</v>
      </c>
      <c r="E145" s="57"/>
      <c r="F145" s="57"/>
      <c r="G145" s="57"/>
      <c r="H145" s="566"/>
      <c r="I145" s="649">
        <f>+H14</f>
        <v>2020</v>
      </c>
      <c r="J145" s="649"/>
      <c r="K145" s="57"/>
      <c r="L145" s="57"/>
      <c r="M145" s="57"/>
      <c r="N145" s="58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</row>
    <row r="146" spans="1:28" s="65" customFormat="1" ht="3.75" customHeight="1">
      <c r="A146" s="70"/>
      <c r="B146" s="56"/>
      <c r="C146" s="61"/>
      <c r="D146" s="608"/>
      <c r="E146" s="57"/>
      <c r="F146" s="57"/>
      <c r="G146" s="57"/>
      <c r="H146" s="57"/>
      <c r="I146" s="57"/>
      <c r="J146" s="57"/>
      <c r="K146" s="57"/>
      <c r="L146" s="57"/>
      <c r="M146" s="57"/>
      <c r="N146" s="58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</row>
    <row r="147" spans="1:28" s="65" customFormat="1" ht="15.75">
      <c r="A147" s="70"/>
      <c r="B147" s="56"/>
      <c r="C147" s="61"/>
      <c r="D147" s="608" t="s">
        <v>427</v>
      </c>
      <c r="E147" s="57"/>
      <c r="F147" s="57"/>
      <c r="G147" s="57"/>
      <c r="H147" s="57"/>
      <c r="I147" s="57"/>
      <c r="J147" s="57"/>
      <c r="K147" s="57"/>
      <c r="L147" s="57"/>
      <c r="M147" s="57"/>
      <c r="N147" s="58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</row>
    <row r="148" spans="1:28" s="65" customFormat="1" ht="15.75">
      <c r="A148" s="70"/>
      <c r="B148" s="56"/>
      <c r="C148" s="61"/>
      <c r="D148" s="600" t="s">
        <v>428</v>
      </c>
      <c r="E148" s="57"/>
      <c r="F148" s="57"/>
      <c r="G148" s="57"/>
      <c r="H148" s="57"/>
      <c r="I148" s="57"/>
      <c r="J148" s="564"/>
      <c r="K148" s="564"/>
      <c r="L148" s="564"/>
      <c r="M148" s="57"/>
      <c r="N148" s="58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</row>
    <row r="149" spans="1:28" s="65" customFormat="1" ht="15.75">
      <c r="A149" s="70"/>
      <c r="B149" s="56"/>
      <c r="C149" s="61"/>
      <c r="D149" s="608" t="s">
        <v>340</v>
      </c>
      <c r="E149" s="57"/>
      <c r="F149" s="57"/>
      <c r="G149" s="57"/>
      <c r="H149" s="566"/>
      <c r="I149" s="566"/>
      <c r="J149" s="566"/>
      <c r="K149" s="57"/>
      <c r="L149" s="57"/>
      <c r="M149" s="57"/>
      <c r="N149" s="58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</row>
    <row r="150" spans="1:28" s="65" customFormat="1" ht="15.75">
      <c r="A150" s="70"/>
      <c r="B150" s="56"/>
      <c r="C150" s="61"/>
      <c r="D150" s="608" t="s">
        <v>339</v>
      </c>
      <c r="E150" s="57"/>
      <c r="F150" s="57"/>
      <c r="G150" s="57"/>
      <c r="H150" s="566"/>
      <c r="I150" s="566"/>
      <c r="J150" s="566"/>
      <c r="K150" s="57"/>
      <c r="L150" s="57"/>
      <c r="M150" s="57"/>
      <c r="N150" s="58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</row>
    <row r="151" spans="1:28" s="65" customFormat="1" ht="15.75">
      <c r="A151" s="70"/>
      <c r="B151" s="56"/>
      <c r="C151" s="61"/>
      <c r="D151" s="608" t="s">
        <v>429</v>
      </c>
      <c r="E151" s="57"/>
      <c r="F151" s="57"/>
      <c r="G151" s="57"/>
      <c r="H151" s="566"/>
      <c r="I151" s="566"/>
      <c r="J151" s="566"/>
      <c r="K151" s="57"/>
      <c r="L151" s="57"/>
      <c r="M151" s="57"/>
      <c r="N151" s="58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</row>
    <row r="152" spans="1:28" s="65" customFormat="1" ht="15.75">
      <c r="A152" s="70"/>
      <c r="B152" s="56"/>
      <c r="C152" s="61"/>
      <c r="D152" s="608" t="s">
        <v>430</v>
      </c>
      <c r="E152" s="57"/>
      <c r="F152" s="57"/>
      <c r="G152" s="57"/>
      <c r="H152" s="566"/>
      <c r="I152" s="566"/>
      <c r="J152" s="566"/>
      <c r="K152" s="57"/>
      <c r="L152" s="57"/>
      <c r="M152" s="57"/>
      <c r="N152" s="58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</row>
    <row r="153" spans="1:28" s="65" customFormat="1" ht="3.75" customHeight="1">
      <c r="A153" s="70"/>
      <c r="B153" s="56"/>
      <c r="C153" s="61"/>
      <c r="D153" s="608"/>
      <c r="E153" s="57"/>
      <c r="F153" s="57"/>
      <c r="G153" s="57"/>
      <c r="H153" s="57"/>
      <c r="I153" s="57"/>
      <c r="J153" s="57"/>
      <c r="K153" s="57"/>
      <c r="L153" s="57"/>
      <c r="M153" s="57"/>
      <c r="N153" s="58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</row>
    <row r="154" spans="1:28" s="65" customFormat="1" ht="15.75">
      <c r="A154" s="70"/>
      <c r="B154" s="56"/>
      <c r="C154" s="61"/>
      <c r="D154" s="608" t="s">
        <v>431</v>
      </c>
      <c r="E154" s="57"/>
      <c r="F154" s="57"/>
      <c r="G154" s="57"/>
      <c r="H154" s="57"/>
      <c r="I154" s="57"/>
      <c r="J154" s="57"/>
      <c r="K154" s="57"/>
      <c r="L154" s="57"/>
      <c r="M154" s="57"/>
      <c r="N154" s="58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</row>
    <row r="155" spans="1:28" s="65" customFormat="1" ht="15.75">
      <c r="A155" s="70"/>
      <c r="B155" s="56"/>
      <c r="C155" s="61"/>
      <c r="D155" s="600" t="s">
        <v>341</v>
      </c>
      <c r="E155" s="57"/>
      <c r="F155" s="57"/>
      <c r="G155" s="57"/>
      <c r="H155" s="57"/>
      <c r="I155" s="57"/>
      <c r="J155" s="564"/>
      <c r="K155" s="564"/>
      <c r="L155" s="564"/>
      <c r="M155" s="57"/>
      <c r="N155" s="58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</row>
    <row r="156" spans="1:28" s="65" customFormat="1" ht="15.75">
      <c r="A156" s="70"/>
      <c r="B156" s="56"/>
      <c r="C156" s="61"/>
      <c r="D156" s="608" t="s">
        <v>432</v>
      </c>
      <c r="E156" s="57"/>
      <c r="F156" s="57"/>
      <c r="G156" s="57"/>
      <c r="H156" s="566"/>
      <c r="I156" s="566"/>
      <c r="J156" s="566"/>
      <c r="K156" s="57"/>
      <c r="L156" s="57"/>
      <c r="M156" s="57"/>
      <c r="N156" s="58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</row>
    <row r="157" spans="1:28" s="65" customFormat="1" ht="15.75">
      <c r="A157" s="70"/>
      <c r="B157" s="56"/>
      <c r="C157" s="61"/>
      <c r="D157" s="600" t="s">
        <v>433</v>
      </c>
      <c r="E157" s="57"/>
      <c r="F157" s="57"/>
      <c r="G157" s="57"/>
      <c r="H157" s="57"/>
      <c r="I157" s="57"/>
      <c r="J157" s="57"/>
      <c r="K157" s="57"/>
      <c r="L157" s="57"/>
      <c r="M157" s="57"/>
      <c r="N157" s="58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</row>
    <row r="158" spans="1:28" s="65" customFormat="1" ht="15.75">
      <c r="A158" s="70"/>
      <c r="B158" s="56"/>
      <c r="C158" s="61"/>
      <c r="D158" s="600" t="s">
        <v>342</v>
      </c>
      <c r="E158" s="57"/>
      <c r="F158" s="57"/>
      <c r="G158" s="57"/>
      <c r="H158" s="57"/>
      <c r="I158" s="57"/>
      <c r="J158" s="57"/>
      <c r="K158" s="57"/>
      <c r="L158" s="57"/>
      <c r="M158" s="57"/>
      <c r="N158" s="58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</row>
    <row r="159" spans="1:28" s="65" customFormat="1" ht="3.75" customHeight="1">
      <c r="A159" s="70"/>
      <c r="B159" s="56"/>
      <c r="C159" s="61"/>
      <c r="D159" s="608"/>
      <c r="E159" s="57"/>
      <c r="F159" s="57"/>
      <c r="G159" s="57"/>
      <c r="H159" s="57"/>
      <c r="I159" s="57"/>
      <c r="J159" s="57"/>
      <c r="K159" s="57"/>
      <c r="L159" s="57"/>
      <c r="M159" s="57"/>
      <c r="N159" s="58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</row>
    <row r="160" spans="1:28" s="65" customFormat="1" ht="15.75">
      <c r="A160" s="70"/>
      <c r="B160" s="56"/>
      <c r="C160" s="61"/>
      <c r="D160" s="608" t="s">
        <v>434</v>
      </c>
      <c r="E160" s="57"/>
      <c r="F160" s="57"/>
      <c r="G160" s="57"/>
      <c r="H160" s="57"/>
      <c r="I160" s="57"/>
      <c r="J160" s="57"/>
      <c r="K160" s="656">
        <f>+H7</f>
        <v>2020</v>
      </c>
      <c r="L160" s="656"/>
      <c r="M160" s="565"/>
      <c r="N160" s="58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</row>
    <row r="161" spans="1:28" s="65" customFormat="1" ht="15.75">
      <c r="A161" s="70"/>
      <c r="B161" s="56"/>
      <c r="C161" s="61"/>
      <c r="D161" s="600" t="s">
        <v>435</v>
      </c>
      <c r="E161" s="57"/>
      <c r="F161" s="57"/>
      <c r="G161" s="57"/>
      <c r="H161" s="57"/>
      <c r="I161" s="57"/>
      <c r="J161" s="564"/>
      <c r="K161" s="564"/>
      <c r="L161" s="564"/>
      <c r="M161" s="57"/>
      <c r="N161" s="58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</row>
    <row r="162" spans="1:28" s="65" customFormat="1" ht="15.75">
      <c r="A162" s="70"/>
      <c r="B162" s="56"/>
      <c r="C162" s="61"/>
      <c r="D162" s="608" t="s">
        <v>345</v>
      </c>
      <c r="E162" s="57"/>
      <c r="F162" s="57"/>
      <c r="G162" s="57"/>
      <c r="H162" s="566"/>
      <c r="I162" s="566"/>
      <c r="J162" s="566"/>
      <c r="K162" s="57"/>
      <c r="L162" s="57"/>
      <c r="M162" s="57"/>
      <c r="N162" s="58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</row>
    <row r="163" spans="1:28" ht="3.75" customHeight="1">
      <c r="A163" s="54"/>
      <c r="B163" s="56"/>
      <c r="C163" s="61"/>
      <c r="D163" s="527"/>
      <c r="E163" s="63"/>
      <c r="F163" s="63"/>
      <c r="G163" s="63"/>
      <c r="H163" s="63"/>
      <c r="I163" s="63"/>
      <c r="J163" s="63"/>
      <c r="K163" s="63"/>
      <c r="L163" s="63"/>
      <c r="M163" s="63"/>
      <c r="N163" s="6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</row>
    <row r="164" spans="1:28" ht="15.75">
      <c r="A164" s="54"/>
      <c r="B164" s="56"/>
      <c r="C164" s="61"/>
      <c r="D164" s="73"/>
      <c r="E164" s="63"/>
      <c r="F164" s="679" t="s">
        <v>343</v>
      </c>
      <c r="G164" s="679"/>
      <c r="H164" s="679"/>
      <c r="I164" s="679"/>
      <c r="J164" s="679"/>
      <c r="K164" s="679"/>
      <c r="L164" s="63"/>
      <c r="M164" s="63"/>
      <c r="N164" s="6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</row>
    <row r="165" spans="1:28" ht="15.75">
      <c r="A165" s="54"/>
      <c r="B165" s="56"/>
      <c r="C165" s="61"/>
      <c r="D165" s="527"/>
      <c r="E165" s="63"/>
      <c r="F165" s="679" t="s">
        <v>344</v>
      </c>
      <c r="G165" s="679"/>
      <c r="H165" s="679"/>
      <c r="I165" s="679"/>
      <c r="J165" s="679"/>
      <c r="K165" s="679"/>
      <c r="L165" s="63"/>
      <c r="M165" s="63"/>
      <c r="N165" s="6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</row>
    <row r="166" spans="1:28" ht="9" customHeight="1">
      <c r="A166" s="54"/>
      <c r="B166" s="56"/>
      <c r="C166" s="61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8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</row>
    <row r="167" spans="1:28" s="65" customFormat="1" ht="15.75">
      <c r="A167" s="70"/>
      <c r="B167" s="59" t="s">
        <v>12</v>
      </c>
      <c r="C167" s="62" t="s">
        <v>18</v>
      </c>
      <c r="D167" s="57"/>
      <c r="E167" s="57"/>
      <c r="F167" s="676">
        <f>+'Cash-Flow-2020-Leva'!P5</f>
        <v>2020</v>
      </c>
      <c r="G167" s="676"/>
      <c r="H167" s="676"/>
      <c r="I167" s="676"/>
      <c r="J167" s="57"/>
      <c r="K167" s="57"/>
      <c r="L167" s="57"/>
      <c r="M167" s="57"/>
      <c r="N167" s="58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</row>
    <row r="168" spans="1:28" s="65" customFormat="1" ht="15.75">
      <c r="A168" s="70"/>
      <c r="B168" s="56"/>
      <c r="C168" s="61">
        <f>1+C134</f>
        <v>18</v>
      </c>
      <c r="D168" s="57" t="s">
        <v>19</v>
      </c>
      <c r="E168" s="57"/>
      <c r="F168" s="57"/>
      <c r="G168" s="678">
        <f>+'Cash-Flow-2020-Leva'!P5</f>
        <v>2020</v>
      </c>
      <c r="H168" s="678"/>
      <c r="I168" s="678"/>
      <c r="J168" s="57" t="s">
        <v>20</v>
      </c>
      <c r="K168" s="57"/>
      <c r="L168" s="57"/>
      <c r="M168" s="57"/>
      <c r="N168" s="58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</row>
    <row r="169" spans="1:28" s="65" customFormat="1" ht="15.75">
      <c r="A169" s="70"/>
      <c r="B169" s="56"/>
      <c r="C169" s="61"/>
      <c r="D169" s="57" t="s">
        <v>21</v>
      </c>
      <c r="E169" s="57"/>
      <c r="F169" s="677">
        <f>+'Cash-Flow-2020-Leva'!P5</f>
        <v>2020</v>
      </c>
      <c r="G169" s="677"/>
      <c r="H169" s="677"/>
      <c r="I169" s="677"/>
      <c r="J169" s="57" t="s">
        <v>436</v>
      </c>
      <c r="K169" s="57"/>
      <c r="L169" s="57"/>
      <c r="M169" s="57"/>
      <c r="N169" s="58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</row>
    <row r="170" spans="1:28" s="65" customFormat="1" ht="15.75">
      <c r="A170" s="70"/>
      <c r="B170" s="56"/>
      <c r="C170" s="57"/>
      <c r="D170" s="57" t="s">
        <v>437</v>
      </c>
      <c r="E170" s="57"/>
      <c r="F170" s="57"/>
      <c r="G170" s="57"/>
      <c r="H170" s="57"/>
      <c r="I170" s="57"/>
      <c r="J170" s="57"/>
      <c r="K170" s="57"/>
      <c r="L170" s="57"/>
      <c r="M170" s="57"/>
      <c r="N170" s="58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</row>
    <row r="171" spans="1:28" s="65" customFormat="1" ht="15.75">
      <c r="A171" s="70"/>
      <c r="B171" s="56"/>
      <c r="C171" s="61">
        <f>1+C168</f>
        <v>19</v>
      </c>
      <c r="D171" s="57" t="s">
        <v>22</v>
      </c>
      <c r="E171" s="57"/>
      <c r="F171" s="57"/>
      <c r="G171" s="57"/>
      <c r="H171" s="57"/>
      <c r="I171" s="57"/>
      <c r="J171" s="57"/>
      <c r="K171" s="57"/>
      <c r="L171" s="57"/>
      <c r="M171" s="57"/>
      <c r="N171" s="58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</row>
    <row r="172" spans="1:28" s="65" customFormat="1" ht="15.75">
      <c r="A172" s="70"/>
      <c r="B172" s="56"/>
      <c r="C172" s="61"/>
      <c r="D172" s="57" t="s">
        <v>24</v>
      </c>
      <c r="E172" s="57"/>
      <c r="F172" s="57"/>
      <c r="G172" s="57"/>
      <c r="H172" s="57"/>
      <c r="I172" s="57"/>
      <c r="J172" s="57"/>
      <c r="K172" s="57"/>
      <c r="L172" s="57"/>
      <c r="M172" s="57"/>
      <c r="N172" s="58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</row>
    <row r="173" spans="1:28" s="65" customFormat="1" ht="15.75">
      <c r="A173" s="70"/>
      <c r="B173" s="56"/>
      <c r="C173" s="61"/>
      <c r="D173" s="57" t="s">
        <v>23</v>
      </c>
      <c r="E173" s="57"/>
      <c r="F173" s="57"/>
      <c r="G173" s="57"/>
      <c r="H173" s="57"/>
      <c r="I173" s="57"/>
      <c r="J173" s="57"/>
      <c r="K173" s="57"/>
      <c r="L173" s="57"/>
      <c r="M173" s="57"/>
      <c r="N173" s="58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</row>
    <row r="174" spans="1:28" s="65" customFormat="1" ht="15.75">
      <c r="A174" s="70"/>
      <c r="B174" s="56"/>
      <c r="C174" s="61"/>
      <c r="D174" s="57" t="s">
        <v>438</v>
      </c>
      <c r="E174" s="57"/>
      <c r="F174" s="57"/>
      <c r="G174" s="57"/>
      <c r="H174" s="57"/>
      <c r="I174" s="57"/>
      <c r="J174" s="57"/>
      <c r="K174" s="57"/>
      <c r="L174" s="57"/>
      <c r="M174" s="57"/>
      <c r="N174" s="58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</row>
    <row r="175" spans="1:28" s="65" customFormat="1" ht="15" customHeight="1">
      <c r="A175" s="70"/>
      <c r="B175" s="56"/>
      <c r="C175" s="57"/>
      <c r="D175" s="57" t="s">
        <v>354</v>
      </c>
      <c r="E175" s="57"/>
      <c r="F175" s="57"/>
      <c r="G175" s="57"/>
      <c r="H175" s="57"/>
      <c r="I175" s="57"/>
      <c r="J175" s="57"/>
      <c r="K175" s="57"/>
      <c r="L175" s="57"/>
      <c r="M175" s="57"/>
      <c r="N175" s="58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</row>
    <row r="176" spans="1:28" s="65" customFormat="1" ht="15" customHeight="1">
      <c r="A176" s="70"/>
      <c r="B176" s="56"/>
      <c r="C176" s="61">
        <f>1+C171</f>
        <v>20</v>
      </c>
      <c r="D176" s="79" t="s">
        <v>439</v>
      </c>
      <c r="E176" s="57"/>
      <c r="F176" s="57"/>
      <c r="G176" s="57"/>
      <c r="H176" s="57"/>
      <c r="I176" s="57"/>
      <c r="J176" s="57"/>
      <c r="K176" s="57"/>
      <c r="L176" s="57"/>
      <c r="M176" s="57"/>
      <c r="N176" s="58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</row>
    <row r="177" spans="1:28" s="65" customFormat="1" ht="15" customHeight="1">
      <c r="A177" s="70"/>
      <c r="B177" s="56"/>
      <c r="C177" s="61"/>
      <c r="D177" s="57" t="s">
        <v>440</v>
      </c>
      <c r="E177" s="57"/>
      <c r="F177" s="57"/>
      <c r="G177" s="57"/>
      <c r="H177" s="57"/>
      <c r="I177" s="57"/>
      <c r="J177" s="57"/>
      <c r="K177" s="57"/>
      <c r="L177" s="57"/>
      <c r="M177" s="57"/>
      <c r="N177" s="58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</row>
    <row r="178" spans="1:28" s="65" customFormat="1" ht="15" customHeight="1">
      <c r="A178" s="70"/>
      <c r="B178" s="56"/>
      <c r="C178" s="57"/>
      <c r="D178" s="57" t="s">
        <v>25</v>
      </c>
      <c r="E178" s="57"/>
      <c r="F178" s="57"/>
      <c r="G178" s="57"/>
      <c r="H178" s="57"/>
      <c r="I178" s="57"/>
      <c r="J178" s="57"/>
      <c r="K178" s="57"/>
      <c r="L178" s="57"/>
      <c r="M178" s="79"/>
      <c r="N178" s="58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</row>
    <row r="179" spans="1:28" s="65" customFormat="1" ht="15.75">
      <c r="A179" s="70"/>
      <c r="B179" s="56"/>
      <c r="C179" s="61"/>
      <c r="D179" s="57"/>
      <c r="E179" s="623" t="s">
        <v>441</v>
      </c>
      <c r="F179" s="74"/>
      <c r="G179" s="74"/>
      <c r="H179" s="74"/>
      <c r="I179" s="74"/>
      <c r="J179" s="74"/>
      <c r="K179" s="74"/>
      <c r="L179" s="624">
        <f>+'Cash-Flow-2020-Leva'!P5</f>
        <v>2020</v>
      </c>
      <c r="M179" s="625"/>
      <c r="N179" s="58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</row>
    <row r="180" spans="1:28" s="65" customFormat="1" ht="15.75">
      <c r="A180" s="70"/>
      <c r="B180" s="56"/>
      <c r="C180" s="61"/>
      <c r="D180" s="57"/>
      <c r="E180" s="626" t="s">
        <v>442</v>
      </c>
      <c r="F180" s="75"/>
      <c r="G180" s="75"/>
      <c r="H180" s="75"/>
      <c r="I180" s="75"/>
      <c r="J180" s="75"/>
      <c r="K180" s="75"/>
      <c r="L180" s="76"/>
      <c r="M180" s="79"/>
      <c r="N180" s="58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</row>
    <row r="181" spans="1:28" s="65" customFormat="1" ht="15.75">
      <c r="A181" s="70"/>
      <c r="B181" s="56"/>
      <c r="C181" s="61">
        <f>1+C176</f>
        <v>21</v>
      </c>
      <c r="D181" s="79" t="s">
        <v>443</v>
      </c>
      <c r="E181" s="79"/>
      <c r="F181" s="79"/>
      <c r="G181" s="79"/>
      <c r="H181" s="79"/>
      <c r="I181" s="79"/>
      <c r="J181" s="79"/>
      <c r="K181" s="79"/>
      <c r="L181" s="79"/>
      <c r="M181" s="57"/>
      <c r="N181" s="58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</row>
    <row r="182" spans="1:28" s="65" customFormat="1" ht="15.75">
      <c r="A182" s="70"/>
      <c r="B182" s="56"/>
      <c r="C182" s="61"/>
      <c r="D182" s="79" t="s">
        <v>444</v>
      </c>
      <c r="E182" s="79"/>
      <c r="F182" s="79"/>
      <c r="G182" s="79"/>
      <c r="H182" s="79"/>
      <c r="I182" s="79"/>
      <c r="J182" s="79"/>
      <c r="K182" s="79"/>
      <c r="L182" s="79"/>
      <c r="M182" s="57"/>
      <c r="N182" s="58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</row>
    <row r="183" spans="1:28" s="65" customFormat="1" ht="15.75">
      <c r="A183" s="70"/>
      <c r="B183" s="56"/>
      <c r="C183" s="61"/>
      <c r="D183" s="79" t="s">
        <v>355</v>
      </c>
      <c r="E183" s="79"/>
      <c r="F183" s="79"/>
      <c r="G183" s="79"/>
      <c r="H183" s="79"/>
      <c r="I183" s="79"/>
      <c r="J183" s="79"/>
      <c r="K183" s="79"/>
      <c r="L183" s="79"/>
      <c r="M183" s="57"/>
      <c r="N183" s="58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</row>
    <row r="184" spans="1:28" s="65" customFormat="1" ht="15.75">
      <c r="A184" s="70"/>
      <c r="B184" s="56"/>
      <c r="C184" s="61">
        <f>1+C181</f>
        <v>22</v>
      </c>
      <c r="D184" s="79" t="s">
        <v>445</v>
      </c>
      <c r="E184" s="79"/>
      <c r="F184" s="79"/>
      <c r="G184" s="79"/>
      <c r="H184" s="79"/>
      <c r="I184" s="79"/>
      <c r="J184" s="79"/>
      <c r="K184" s="79"/>
      <c r="L184" s="79"/>
      <c r="M184" s="57"/>
      <c r="N184" s="58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</row>
    <row r="185" spans="1:28" s="65" customFormat="1" ht="15.75">
      <c r="A185" s="70"/>
      <c r="B185" s="56"/>
      <c r="C185" s="61"/>
      <c r="D185" s="79" t="s">
        <v>32</v>
      </c>
      <c r="E185" s="677">
        <f>+'Cash-Flow-2020-Leva'!P5</f>
        <v>2020</v>
      </c>
      <c r="F185" s="677"/>
      <c r="G185" s="677"/>
      <c r="H185" s="677"/>
      <c r="I185" s="79" t="s">
        <v>446</v>
      </c>
      <c r="J185" s="79"/>
      <c r="K185" s="79"/>
      <c r="L185" s="79"/>
      <c r="M185" s="57"/>
      <c r="N185" s="58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</row>
    <row r="186" spans="1:28" s="65" customFormat="1" ht="15.75">
      <c r="A186" s="70"/>
      <c r="B186" s="56"/>
      <c r="C186" s="61"/>
      <c r="D186" s="57" t="s">
        <v>33</v>
      </c>
      <c r="E186" s="57"/>
      <c r="F186" s="57"/>
      <c r="G186" s="57"/>
      <c r="H186" s="57"/>
      <c r="I186" s="57"/>
      <c r="J186" s="57"/>
      <c r="K186" s="660">
        <f>+'Cash-Flow-2020-Leva'!P5</f>
        <v>2020</v>
      </c>
      <c r="L186" s="660"/>
      <c r="M186" s="57"/>
      <c r="N186" s="58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</row>
    <row r="187" spans="1:28" s="65" customFormat="1" ht="3.75" customHeight="1">
      <c r="A187" s="70"/>
      <c r="B187" s="56"/>
      <c r="C187" s="61"/>
      <c r="D187" s="449"/>
      <c r="E187" s="57"/>
      <c r="F187" s="57"/>
      <c r="G187" s="57"/>
      <c r="H187" s="57"/>
      <c r="I187" s="57"/>
      <c r="J187" s="57"/>
      <c r="K187" s="57"/>
      <c r="L187" s="57"/>
      <c r="M187" s="57"/>
      <c r="N187" s="58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</row>
    <row r="188" spans="1:28" s="65" customFormat="1" ht="15.75">
      <c r="A188" s="70"/>
      <c r="B188" s="56"/>
      <c r="C188" s="61">
        <f>1+C184</f>
        <v>23</v>
      </c>
      <c r="D188" s="449" t="s">
        <v>447</v>
      </c>
      <c r="E188" s="57"/>
      <c r="F188" s="57"/>
      <c r="G188" s="57"/>
      <c r="H188" s="57"/>
      <c r="I188" s="57"/>
      <c r="J188" s="57"/>
      <c r="K188" s="627"/>
      <c r="L188" s="627"/>
      <c r="M188" s="627"/>
      <c r="N188" s="58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</row>
    <row r="189" spans="1:28" s="65" customFormat="1" ht="15.75">
      <c r="A189" s="70"/>
      <c r="B189" s="56"/>
      <c r="C189" s="61"/>
      <c r="D189" s="669">
        <f>H7</f>
        <v>2020</v>
      </c>
      <c r="E189" s="669"/>
      <c r="F189" s="628" t="s">
        <v>448</v>
      </c>
      <c r="G189" s="57"/>
      <c r="H189" s="57"/>
      <c r="I189" s="57"/>
      <c r="J189" s="629"/>
      <c r="K189" s="629"/>
      <c r="L189" s="629"/>
      <c r="M189" s="57"/>
      <c r="N189" s="58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</row>
    <row r="190" spans="1:28" ht="3.75" customHeight="1">
      <c r="A190" s="54"/>
      <c r="B190" s="56"/>
      <c r="C190" s="61"/>
      <c r="D190" s="527"/>
      <c r="E190" s="63"/>
      <c r="F190" s="63"/>
      <c r="G190" s="63"/>
      <c r="H190" s="63"/>
      <c r="I190" s="63"/>
      <c r="J190" s="63"/>
      <c r="K190" s="63"/>
      <c r="L190" s="63"/>
      <c r="M190" s="63"/>
      <c r="N190" s="6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</row>
    <row r="191" spans="1:28" ht="15.75">
      <c r="A191" s="54"/>
      <c r="B191" s="56"/>
      <c r="C191" s="61"/>
      <c r="D191" s="73"/>
      <c r="E191" s="63"/>
      <c r="F191" s="679" t="s">
        <v>343</v>
      </c>
      <c r="G191" s="679"/>
      <c r="H191" s="679"/>
      <c r="I191" s="679"/>
      <c r="J191" s="679"/>
      <c r="K191" s="679"/>
      <c r="L191" s="63"/>
      <c r="M191" s="63"/>
      <c r="N191" s="6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</row>
    <row r="192" spans="1:28" ht="15.75">
      <c r="A192" s="54"/>
      <c r="B192" s="56"/>
      <c r="C192" s="61"/>
      <c r="D192" s="527"/>
      <c r="E192" s="63"/>
      <c r="F192" s="680">
        <f>+L2</f>
        <v>2020</v>
      </c>
      <c r="G192" s="680"/>
      <c r="H192" s="680"/>
      <c r="I192" s="680"/>
      <c r="J192" s="680"/>
      <c r="K192" s="680"/>
      <c r="L192" s="63"/>
      <c r="M192" s="63"/>
      <c r="N192" s="6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</row>
    <row r="193" spans="1:28" ht="9" customHeight="1">
      <c r="A193" s="54"/>
      <c r="B193" s="56"/>
      <c r="C193" s="61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8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</row>
    <row r="194" spans="1:28" s="65" customFormat="1" ht="15.75">
      <c r="A194" s="70"/>
      <c r="B194" s="56"/>
      <c r="C194" s="61">
        <f>1+C188</f>
        <v>24</v>
      </c>
      <c r="D194" s="630" t="s">
        <v>38</v>
      </c>
      <c r="E194" s="74"/>
      <c r="F194" s="74"/>
      <c r="G194" s="74"/>
      <c r="H194" s="674">
        <f>+'Cash-Flow-2020-Leva'!P5</f>
        <v>2020</v>
      </c>
      <c r="I194" s="674"/>
      <c r="J194" s="674"/>
      <c r="K194" s="74" t="s">
        <v>314</v>
      </c>
      <c r="L194" s="631"/>
      <c r="M194" s="632"/>
      <c r="N194" s="58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</row>
    <row r="195" spans="1:28" s="65" customFormat="1" ht="15.75">
      <c r="A195" s="70"/>
      <c r="B195" s="56"/>
      <c r="C195" s="61"/>
      <c r="D195" s="633" t="s">
        <v>39</v>
      </c>
      <c r="E195" s="634">
        <f>+'Cash-Flow-2020-Leva'!P5</f>
        <v>2020</v>
      </c>
      <c r="F195" s="77" t="s">
        <v>449</v>
      </c>
      <c r="G195" s="77"/>
      <c r="H195" s="77"/>
      <c r="I195" s="77"/>
      <c r="J195" s="77"/>
      <c r="K195" s="77"/>
      <c r="L195" s="77"/>
      <c r="M195" s="635"/>
      <c r="N195" s="58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</row>
    <row r="196" spans="1:28" s="65" customFormat="1" ht="15.75">
      <c r="A196" s="70"/>
      <c r="B196" s="56"/>
      <c r="C196" s="61"/>
      <c r="D196" s="633" t="s">
        <v>45</v>
      </c>
      <c r="E196" s="77"/>
      <c r="F196" s="77"/>
      <c r="G196" s="77"/>
      <c r="H196" s="77"/>
      <c r="I196" s="77"/>
      <c r="J196" s="77"/>
      <c r="K196" s="636"/>
      <c r="L196" s="77"/>
      <c r="M196" s="635"/>
      <c r="N196" s="58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</row>
    <row r="197" spans="1:28" s="65" customFormat="1" ht="15.75">
      <c r="A197" s="70"/>
      <c r="B197" s="56"/>
      <c r="C197" s="61"/>
      <c r="D197" s="637" t="s">
        <v>450</v>
      </c>
      <c r="E197" s="75"/>
      <c r="F197" s="75"/>
      <c r="G197" s="75"/>
      <c r="H197" s="75"/>
      <c r="I197" s="75"/>
      <c r="J197" s="75"/>
      <c r="K197" s="638"/>
      <c r="L197" s="639"/>
      <c r="M197" s="76"/>
      <c r="N197" s="58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</row>
    <row r="198" spans="1:28" s="65" customFormat="1" ht="9" customHeight="1">
      <c r="A198" s="70"/>
      <c r="B198" s="81"/>
      <c r="C198" s="82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4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  <c r="AA198" s="70"/>
      <c r="AB198" s="70"/>
    </row>
    <row r="199" spans="1:28" s="65" customFormat="1" ht="15.75">
      <c r="A199" s="70"/>
      <c r="B199" s="59" t="s">
        <v>27</v>
      </c>
      <c r="C199" s="62" t="s">
        <v>14</v>
      </c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8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</row>
    <row r="200" spans="1:28" s="65" customFormat="1" ht="15.75">
      <c r="A200" s="70"/>
      <c r="B200" s="56"/>
      <c r="C200" s="61">
        <f>1+C194</f>
        <v>25</v>
      </c>
      <c r="D200" s="57" t="s">
        <v>451</v>
      </c>
      <c r="E200" s="57"/>
      <c r="F200" s="57"/>
      <c r="G200" s="57"/>
      <c r="H200" s="57"/>
      <c r="I200" s="57"/>
      <c r="J200" s="57"/>
      <c r="K200" s="57"/>
      <c r="L200" s="57"/>
      <c r="M200" s="57"/>
      <c r="N200" s="58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</row>
    <row r="201" spans="1:28" s="65" customFormat="1" ht="15.75">
      <c r="A201" s="70"/>
      <c r="B201" s="56"/>
      <c r="C201" s="61">
        <f>1+C200</f>
        <v>26</v>
      </c>
      <c r="D201" s="57" t="s">
        <v>452</v>
      </c>
      <c r="E201" s="57"/>
      <c r="F201" s="57"/>
      <c r="G201" s="57"/>
      <c r="H201" s="57"/>
      <c r="I201" s="57"/>
      <c r="J201" s="57"/>
      <c r="K201" s="57"/>
      <c r="L201" s="57"/>
      <c r="M201" s="57"/>
      <c r="N201" s="58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</row>
    <row r="202" spans="1:28" s="65" customFormat="1" ht="15.75">
      <c r="A202" s="70"/>
      <c r="B202" s="56"/>
      <c r="C202" s="57"/>
      <c r="D202" s="57" t="s">
        <v>15</v>
      </c>
      <c r="E202" s="57"/>
      <c r="F202" s="57"/>
      <c r="G202" s="57"/>
      <c r="H202" s="57"/>
      <c r="I202" s="57"/>
      <c r="J202" s="57"/>
      <c r="K202" s="57"/>
      <c r="L202" s="57"/>
      <c r="M202" s="57"/>
      <c r="N202" s="58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/>
    </row>
    <row r="203" spans="1:28" s="65" customFormat="1" ht="15.75">
      <c r="A203" s="70"/>
      <c r="B203" s="56"/>
      <c r="C203" s="57"/>
      <c r="D203" s="57" t="s">
        <v>16</v>
      </c>
      <c r="E203" s="57"/>
      <c r="F203" s="57"/>
      <c r="G203" s="57"/>
      <c r="H203" s="57"/>
      <c r="I203" s="57"/>
      <c r="J203" s="57"/>
      <c r="K203" s="57"/>
      <c r="L203" s="57"/>
      <c r="M203" s="57"/>
      <c r="N203" s="58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  <c r="AA203" s="70"/>
      <c r="AB203" s="70"/>
    </row>
    <row r="204" spans="1:28" s="65" customFormat="1" ht="15.75">
      <c r="A204" s="70"/>
      <c r="B204" s="56"/>
      <c r="C204" s="57"/>
      <c r="D204" s="57" t="s">
        <v>453</v>
      </c>
      <c r="E204" s="57"/>
      <c r="F204" s="57"/>
      <c r="G204" s="57"/>
      <c r="H204" s="57"/>
      <c r="I204" s="57"/>
      <c r="J204" s="57"/>
      <c r="K204" s="57"/>
      <c r="L204" s="57"/>
      <c r="M204" s="57"/>
      <c r="N204" s="58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</row>
    <row r="205" spans="1:28" s="65" customFormat="1" ht="15.75">
      <c r="A205" s="70"/>
      <c r="B205" s="56"/>
      <c r="C205" s="57"/>
      <c r="D205" s="57" t="s">
        <v>454</v>
      </c>
      <c r="E205" s="57"/>
      <c r="F205" s="57"/>
      <c r="G205" s="57"/>
      <c r="H205" s="57"/>
      <c r="I205" s="57"/>
      <c r="J205" s="57"/>
      <c r="K205" s="57"/>
      <c r="L205" s="57"/>
      <c r="M205" s="57"/>
      <c r="N205" s="58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</row>
    <row r="206" spans="1:28" s="65" customFormat="1" ht="15.75">
      <c r="A206" s="70"/>
      <c r="B206" s="56"/>
      <c r="C206" s="57"/>
      <c r="D206" s="57" t="s">
        <v>26</v>
      </c>
      <c r="E206" s="57"/>
      <c r="F206" s="57"/>
      <c r="G206" s="57"/>
      <c r="H206" s="57"/>
      <c r="I206" s="57"/>
      <c r="J206" s="57"/>
      <c r="K206" s="57"/>
      <c r="L206" s="57"/>
      <c r="M206" s="57"/>
      <c r="N206" s="58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</row>
    <row r="207" spans="1:28" ht="3" customHeight="1" thickBot="1">
      <c r="A207" s="54"/>
      <c r="B207" s="66"/>
      <c r="C207" s="67"/>
      <c r="D207" s="68"/>
      <c r="E207" s="67"/>
      <c r="F207" s="67"/>
      <c r="G207" s="67"/>
      <c r="H207" s="67"/>
      <c r="I207" s="67"/>
      <c r="J207" s="67"/>
      <c r="K207" s="67"/>
      <c r="L207" s="67"/>
      <c r="M207" s="67"/>
      <c r="N207" s="69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</row>
    <row r="208" spans="1:28" ht="16.5" thickTop="1">
      <c r="A208" s="54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</row>
    <row r="209" spans="1:28" ht="15.75">
      <c r="A209" s="54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</row>
    <row r="210" spans="1:28" ht="15.75">
      <c r="A210" s="54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</row>
    <row r="211" spans="1:28" ht="15.75">
      <c r="A211" s="54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</row>
    <row r="212" spans="1:28" ht="15.75">
      <c r="A212" s="54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</row>
    <row r="213" spans="1:28" ht="15.75">
      <c r="A213" s="54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</row>
    <row r="214" spans="1:28" ht="15.75">
      <c r="A214" s="54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</row>
    <row r="215" spans="1:28" ht="15.75">
      <c r="A215" s="54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</row>
    <row r="216" spans="1:28" ht="15.75">
      <c r="A216" s="54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</row>
    <row r="217" spans="1:28" ht="15.75">
      <c r="A217" s="54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</row>
    <row r="218" spans="1:28" ht="15.75">
      <c r="A218" s="54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</row>
    <row r="219" spans="1:28" ht="15.75">
      <c r="A219" s="54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</row>
    <row r="220" spans="1:28" ht="15.75">
      <c r="A220" s="54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</row>
    <row r="221" spans="1:28" ht="15.75">
      <c r="A221" s="54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</row>
    <row r="222" spans="1:28" ht="15.75">
      <c r="A222" s="54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</row>
    <row r="223" spans="1:28" ht="15" customHeight="1">
      <c r="A223" s="54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</row>
    <row r="224" spans="1:28" ht="15" customHeight="1">
      <c r="A224" s="54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</row>
    <row r="225" spans="1:28" ht="15" customHeight="1">
      <c r="A225" s="54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</row>
    <row r="226" spans="1:28" ht="15" customHeight="1">
      <c r="A226" s="54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</row>
    <row r="227" spans="1:28" ht="15" customHeight="1">
      <c r="A227" s="54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</row>
    <row r="228" spans="1:28" ht="15" customHeight="1">
      <c r="A228" s="54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</row>
    <row r="229" spans="1:28" ht="15" customHeight="1">
      <c r="A229" s="54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</row>
    <row r="230" spans="1:28" ht="15" customHeight="1">
      <c r="A230" s="54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</row>
    <row r="231" spans="1:28" ht="15" customHeight="1">
      <c r="A231" s="54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</row>
    <row r="232" spans="1:28" ht="15" customHeight="1">
      <c r="A232" s="54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</row>
    <row r="233" spans="1:28" ht="15" customHeight="1">
      <c r="A233" s="54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</row>
    <row r="234" spans="1:28" ht="15" customHeight="1">
      <c r="A234" s="54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</row>
    <row r="235" spans="1:28" ht="15" customHeight="1">
      <c r="A235" s="54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</row>
    <row r="236" spans="1:28" ht="15" customHeight="1">
      <c r="A236" s="54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</row>
    <row r="237" spans="1:28" ht="15" customHeight="1">
      <c r="A237" s="54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</row>
    <row r="238" spans="1:28" ht="15" customHeight="1">
      <c r="A238" s="54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</row>
    <row r="239" spans="1:28" ht="15" customHeight="1">
      <c r="A239" s="54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</row>
    <row r="240" spans="1:28" ht="15" customHeight="1">
      <c r="A240" s="54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</row>
    <row r="241" spans="1:28" ht="15" customHeight="1">
      <c r="A241" s="54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</row>
    <row r="242" spans="1:28" ht="15" customHeight="1">
      <c r="A242" s="54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</row>
    <row r="243" spans="1:28" ht="15" customHeight="1">
      <c r="A243" s="54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</row>
    <row r="244" spans="1:28" ht="15" customHeight="1">
      <c r="A244" s="54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</row>
    <row r="245" spans="1:28" ht="15" customHeight="1">
      <c r="A245" s="54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</row>
    <row r="246" spans="1:28" ht="15" customHeight="1">
      <c r="A246" s="54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</row>
    <row r="247" spans="1:28" ht="15" customHeight="1">
      <c r="A247" s="54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</row>
    <row r="248" spans="1:28" ht="15" customHeight="1">
      <c r="A248" s="54"/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</row>
    <row r="249" spans="1:28" ht="15" customHeight="1">
      <c r="A249" s="54"/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</row>
    <row r="250" spans="1:28" ht="15" customHeight="1">
      <c r="A250" s="54"/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</row>
    <row r="251" spans="1:28" ht="15" customHeight="1">
      <c r="A251" s="54"/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</row>
    <row r="252" spans="1:28" ht="15" customHeight="1">
      <c r="A252" s="54"/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</row>
    <row r="253" spans="1:28" ht="15" customHeight="1">
      <c r="A253" s="54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</row>
    <row r="254" spans="1:28" ht="15" customHeight="1">
      <c r="A254" s="54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</row>
    <row r="255" spans="1:28" ht="15" customHeight="1">
      <c r="A255" s="54"/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</row>
    <row r="256" spans="1:28" ht="15" customHeight="1">
      <c r="A256" s="54"/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</row>
    <row r="257" spans="1:28" ht="15" customHeight="1">
      <c r="A257" s="54"/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</row>
    <row r="258" spans="1:28" ht="15" customHeight="1">
      <c r="A258" s="54"/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</row>
    <row r="259" spans="1:28" ht="15" customHeight="1">
      <c r="A259" s="54"/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</row>
    <row r="260" spans="1:28" ht="15" customHeight="1">
      <c r="A260" s="54"/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</row>
    <row r="261" spans="1:28" ht="15" customHeight="1">
      <c r="A261" s="54"/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</row>
    <row r="262" spans="1:28" ht="15" customHeight="1">
      <c r="A262" s="54"/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</row>
    <row r="263" spans="1:28" ht="15" customHeight="1">
      <c r="A263" s="54"/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</row>
    <row r="264" spans="1:28" ht="15" customHeight="1">
      <c r="A264" s="54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</row>
    <row r="265" spans="1:28" ht="15" customHeight="1">
      <c r="A265" s="54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</row>
    <row r="266" spans="1:28" ht="15" customHeight="1">
      <c r="A266" s="54"/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="70" zoomScaleNormal="7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01" sqref="F10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13" customWidth="1"/>
    <col min="19" max="20" width="14.140625" style="21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13" customFormat="1" ht="16.5" customHeight="1">
      <c r="A1" s="15"/>
      <c r="B1" s="716" t="s">
        <v>457</v>
      </c>
      <c r="C1" s="717"/>
      <c r="D1" s="717"/>
      <c r="E1" s="717"/>
      <c r="F1" s="718"/>
      <c r="G1" s="421" t="s">
        <v>244</v>
      </c>
      <c r="H1" s="414"/>
      <c r="I1" s="704">
        <v>413885</v>
      </c>
      <c r="J1" s="705"/>
      <c r="K1" s="415"/>
      <c r="L1" s="423" t="s">
        <v>245</v>
      </c>
      <c r="M1" s="419">
        <v>6507</v>
      </c>
      <c r="N1" s="415"/>
      <c r="O1" s="423" t="s">
        <v>239</v>
      </c>
      <c r="P1" s="440" t="s">
        <v>460</v>
      </c>
      <c r="Q1" s="416"/>
      <c r="R1" s="332" t="s">
        <v>277</v>
      </c>
      <c r="S1" s="789"/>
      <c r="T1" s="790"/>
      <c r="U1" s="416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15"/>
      <c r="B2" s="736" t="s">
        <v>240</v>
      </c>
      <c r="C2" s="737"/>
      <c r="D2" s="737"/>
      <c r="E2" s="737"/>
      <c r="F2" s="738"/>
      <c r="G2" s="414"/>
      <c r="H2" s="414"/>
      <c r="I2" s="412"/>
      <c r="J2" s="415"/>
      <c r="K2" s="412"/>
      <c r="L2" s="412"/>
      <c r="M2" s="415"/>
      <c r="N2" s="417"/>
      <c r="O2" s="416"/>
      <c r="P2" s="416"/>
      <c r="Q2" s="416"/>
      <c r="R2" s="416"/>
      <c r="S2" s="416"/>
      <c r="T2" s="416"/>
      <c r="U2" s="416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15"/>
      <c r="B3" s="720" t="s">
        <v>250</v>
      </c>
      <c r="C3" s="721"/>
      <c r="D3" s="721"/>
      <c r="E3" s="721"/>
      <c r="F3" s="722"/>
      <c r="G3" s="422" t="s">
        <v>238</v>
      </c>
      <c r="H3" s="709" t="s">
        <v>459</v>
      </c>
      <c r="I3" s="710"/>
      <c r="J3" s="710"/>
      <c r="K3" s="711"/>
      <c r="L3" s="28" t="s">
        <v>246</v>
      </c>
      <c r="M3" s="706" t="s">
        <v>458</v>
      </c>
      <c r="N3" s="707"/>
      <c r="O3" s="707"/>
      <c r="P3" s="708"/>
      <c r="Q3" s="416"/>
      <c r="R3" s="416"/>
      <c r="S3" s="416"/>
      <c r="T3" s="416"/>
      <c r="U3" s="416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07"/>
      <c r="S4" s="207"/>
      <c r="T4" s="207"/>
      <c r="U4" s="15"/>
    </row>
    <row r="5" spans="1:21" s="12" customFormat="1" ht="18.75" customHeight="1">
      <c r="A5" s="15"/>
      <c r="B5" s="684">
        <f>+IF(+O174&gt;0,"НЕРАВНЕНИЕ: Касов отчет - Баланс!",0)</f>
        <v>0</v>
      </c>
      <c r="C5" s="684"/>
      <c r="D5" s="740" t="s">
        <v>243</v>
      </c>
      <c r="E5" s="740"/>
      <c r="F5" s="740"/>
      <c r="G5" s="740"/>
      <c r="H5" s="740"/>
      <c r="I5" s="740"/>
      <c r="J5" s="740"/>
      <c r="K5" s="740"/>
      <c r="L5" s="740"/>
      <c r="M5" s="20"/>
      <c r="N5" s="20"/>
      <c r="O5" s="24" t="s">
        <v>17</v>
      </c>
      <c r="P5" s="438">
        <v>2020</v>
      </c>
      <c r="Q5" s="20"/>
      <c r="R5" s="712" t="s">
        <v>180</v>
      </c>
      <c r="S5" s="712"/>
      <c r="T5" s="712"/>
      <c r="U5" s="15"/>
    </row>
    <row r="6" spans="1:28" s="3" customFormat="1" ht="17.25" customHeight="1">
      <c r="A6" s="15"/>
      <c r="B6" s="685">
        <f>+IF(B5=0,0,P5)</f>
        <v>0</v>
      </c>
      <c r="C6" s="685"/>
      <c r="D6" s="740" t="s">
        <v>242</v>
      </c>
      <c r="E6" s="740"/>
      <c r="F6" s="740"/>
      <c r="G6" s="740"/>
      <c r="H6" s="740"/>
      <c r="I6" s="740"/>
      <c r="J6" s="740"/>
      <c r="K6" s="740"/>
      <c r="L6" s="740"/>
      <c r="M6" s="21"/>
      <c r="N6" s="16"/>
      <c r="O6" s="15"/>
      <c r="P6" s="15"/>
      <c r="Q6" s="13"/>
      <c r="R6" s="739">
        <f>+P4</f>
        <v>0</v>
      </c>
      <c r="S6" s="739"/>
      <c r="T6" s="739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07"/>
      <c r="S7" s="207"/>
      <c r="T7" s="207"/>
      <c r="U7" s="15"/>
    </row>
    <row r="8" spans="1:28" s="3" customFormat="1" ht="17.25" customHeight="1">
      <c r="A8" s="15"/>
      <c r="B8" s="27"/>
      <c r="C8" s="27" t="s">
        <v>241</v>
      </c>
      <c r="D8" s="719" t="str">
        <f>+B1</f>
        <v>Община Никопол</v>
      </c>
      <c r="E8" s="719"/>
      <c r="F8" s="719"/>
      <c r="G8" s="719"/>
      <c r="H8" s="719"/>
      <c r="I8" s="719"/>
      <c r="J8" s="719"/>
      <c r="K8" s="719"/>
      <c r="L8" s="719"/>
      <c r="M8" s="420" t="s">
        <v>247</v>
      </c>
      <c r="N8" s="16"/>
      <c r="O8" s="579" t="s">
        <v>300</v>
      </c>
      <c r="P8" s="278" t="s">
        <v>46</v>
      </c>
      <c r="Q8" s="13"/>
      <c r="R8" s="713">
        <f>+P5</f>
        <v>2020</v>
      </c>
      <c r="S8" s="714"/>
      <c r="T8" s="71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17"/>
      <c r="C9" s="117"/>
      <c r="D9" s="11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08"/>
      <c r="S9" s="208"/>
      <c r="T9" s="20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18"/>
      <c r="C10" s="119"/>
      <c r="D10" s="120"/>
      <c r="E10" s="15"/>
      <c r="F10" s="78" t="s">
        <v>40</v>
      </c>
      <c r="G10" s="86" t="s">
        <v>40</v>
      </c>
      <c r="H10" s="15"/>
      <c r="I10" s="90" t="s">
        <v>41</v>
      </c>
      <c r="J10" s="106" t="s">
        <v>41</v>
      </c>
      <c r="K10" s="16"/>
      <c r="L10" s="424" t="s">
        <v>42</v>
      </c>
      <c r="M10" s="338" t="s">
        <v>42</v>
      </c>
      <c r="N10" s="16"/>
      <c r="O10" s="425" t="s">
        <v>248</v>
      </c>
      <c r="P10" s="341" t="s">
        <v>43</v>
      </c>
      <c r="Q10" s="339"/>
      <c r="R10" s="727" t="s">
        <v>0</v>
      </c>
      <c r="S10" s="728"/>
      <c r="T10" s="72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23" t="s">
        <v>127</v>
      </c>
      <c r="C11" s="121"/>
      <c r="D11" s="122"/>
      <c r="E11" s="15"/>
      <c r="F11" s="575" t="str">
        <f>+O8</f>
        <v>31.12.2020 г.</v>
      </c>
      <c r="G11" s="384">
        <f>+P5-1</f>
        <v>2019</v>
      </c>
      <c r="H11" s="15"/>
      <c r="I11" s="576" t="str">
        <f>+O8</f>
        <v>31.12.2020 г.</v>
      </c>
      <c r="J11" s="385">
        <f>+P5-1</f>
        <v>2019</v>
      </c>
      <c r="K11" s="16"/>
      <c r="L11" s="577" t="str">
        <f>+O8</f>
        <v>31.12.2020 г.</v>
      </c>
      <c r="M11" s="386">
        <f>+P5-1</f>
        <v>2019</v>
      </c>
      <c r="N11" s="16"/>
      <c r="O11" s="578" t="str">
        <f>+O8</f>
        <v>31.12.2020 г.</v>
      </c>
      <c r="P11" s="387">
        <f>+P5-1</f>
        <v>2019</v>
      </c>
      <c r="Q11" s="340"/>
      <c r="R11" s="730" t="s">
        <v>181</v>
      </c>
      <c r="S11" s="731"/>
      <c r="T11" s="73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46" t="s">
        <v>128</v>
      </c>
      <c r="C12" s="447"/>
      <c r="D12" s="448"/>
      <c r="E12" s="15"/>
      <c r="F12" s="7" t="s">
        <v>1</v>
      </c>
      <c r="G12" s="85" t="s">
        <v>2</v>
      </c>
      <c r="H12" s="15"/>
      <c r="I12" s="7" t="s">
        <v>3</v>
      </c>
      <c r="J12" s="85" t="s">
        <v>4</v>
      </c>
      <c r="K12" s="16"/>
      <c r="L12" s="7" t="s">
        <v>5</v>
      </c>
      <c r="M12" s="85" t="s">
        <v>235</v>
      </c>
      <c r="N12" s="16"/>
      <c r="O12" s="342" t="s">
        <v>237</v>
      </c>
      <c r="P12" s="343" t="s">
        <v>236</v>
      </c>
      <c r="Q12" s="15"/>
      <c r="R12" s="286"/>
      <c r="S12" s="287"/>
      <c r="T12" s="28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82" t="s">
        <v>48</v>
      </c>
      <c r="C13" s="124"/>
      <c r="D13" s="125"/>
      <c r="E13" s="15"/>
      <c r="F13" s="214"/>
      <c r="G13" s="214"/>
      <c r="H13" s="15"/>
      <c r="I13" s="214"/>
      <c r="J13" s="214"/>
      <c r="K13" s="215"/>
      <c r="L13" s="214"/>
      <c r="M13" s="214"/>
      <c r="N13" s="215"/>
      <c r="O13" s="344"/>
      <c r="P13" s="345"/>
      <c r="Q13" s="31"/>
      <c r="R13" s="182" t="s">
        <v>48</v>
      </c>
      <c r="S13" s="124"/>
      <c r="T13" s="125"/>
      <c r="U13" s="34"/>
      <c r="V13" s="2"/>
      <c r="W13" s="205" t="s">
        <v>289</v>
      </c>
      <c r="X13" s="206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84" t="s">
        <v>69</v>
      </c>
      <c r="C14" s="109"/>
      <c r="D14" s="113"/>
      <c r="E14" s="15"/>
      <c r="F14" s="216"/>
      <c r="G14" s="216"/>
      <c r="H14" s="15"/>
      <c r="I14" s="216"/>
      <c r="J14" s="216"/>
      <c r="K14" s="215"/>
      <c r="L14" s="216"/>
      <c r="M14" s="216"/>
      <c r="N14" s="215"/>
      <c r="O14" s="346"/>
      <c r="P14" s="347"/>
      <c r="Q14" s="31"/>
      <c r="R14" s="184" t="s">
        <v>69</v>
      </c>
      <c r="S14" s="109"/>
      <c r="T14" s="113"/>
      <c r="U14" s="34"/>
      <c r="V14" s="2"/>
      <c r="W14" s="203" t="s">
        <v>290</v>
      </c>
      <c r="X14" s="204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85" t="s">
        <v>49</v>
      </c>
      <c r="C15" s="144"/>
      <c r="D15" s="145"/>
      <c r="E15" s="15"/>
      <c r="F15" s="218">
        <v>512125</v>
      </c>
      <c r="G15" s="640">
        <v>596262</v>
      </c>
      <c r="H15" s="15"/>
      <c r="I15" s="218"/>
      <c r="J15" s="217"/>
      <c r="K15" s="215"/>
      <c r="L15" s="218"/>
      <c r="M15" s="217"/>
      <c r="N15" s="215"/>
      <c r="O15" s="353">
        <f aca="true" t="shared" si="0" ref="O15:P24">+ROUND(+F15+I15+L15,0)</f>
        <v>512125</v>
      </c>
      <c r="P15" s="366">
        <f t="shared" si="0"/>
        <v>596262</v>
      </c>
      <c r="Q15" s="31"/>
      <c r="R15" s="733" t="s">
        <v>149</v>
      </c>
      <c r="S15" s="734"/>
      <c r="T15" s="735"/>
      <c r="U15" s="34"/>
      <c r="V15" s="2"/>
      <c r="W15" s="92" t="s">
        <v>291</v>
      </c>
      <c r="X15" s="93"/>
      <c r="Y15" s="2"/>
      <c r="Z15" s="2"/>
      <c r="AA15" s="2"/>
      <c r="AB15" s="2"/>
      <c r="AC15" s="2"/>
      <c r="AD15" s="2"/>
    </row>
    <row r="16" spans="1:30" s="3" customFormat="1" ht="15.75">
      <c r="A16" s="15"/>
      <c r="B16" s="199" t="s">
        <v>283</v>
      </c>
      <c r="C16" s="140"/>
      <c r="D16" s="141"/>
      <c r="E16" s="15"/>
      <c r="F16" s="222">
        <v>407122</v>
      </c>
      <c r="G16" s="641">
        <v>435469</v>
      </c>
      <c r="H16" s="15"/>
      <c r="I16" s="222"/>
      <c r="J16" s="221"/>
      <c r="K16" s="215"/>
      <c r="L16" s="222"/>
      <c r="M16" s="221"/>
      <c r="N16" s="215"/>
      <c r="O16" s="349">
        <f t="shared" si="0"/>
        <v>407122</v>
      </c>
      <c r="P16" s="372">
        <f t="shared" si="0"/>
        <v>435469</v>
      </c>
      <c r="Q16" s="31"/>
      <c r="R16" s="741" t="s">
        <v>284</v>
      </c>
      <c r="S16" s="742"/>
      <c r="T16" s="743"/>
      <c r="U16" s="34"/>
      <c r="V16" s="2"/>
      <c r="W16" s="205" t="s">
        <v>292</v>
      </c>
      <c r="X16" s="206"/>
      <c r="Y16" s="2"/>
      <c r="Z16" s="2"/>
      <c r="AA16" s="2"/>
      <c r="AB16" s="2"/>
      <c r="AC16" s="2"/>
      <c r="AD16" s="2"/>
    </row>
    <row r="17" spans="1:30" s="3" customFormat="1" ht="15.75">
      <c r="A17" s="15"/>
      <c r="B17" s="194" t="s">
        <v>285</v>
      </c>
      <c r="C17" s="490"/>
      <c r="D17" s="491"/>
      <c r="E17" s="15"/>
      <c r="F17" s="501"/>
      <c r="G17" s="502"/>
      <c r="H17" s="15"/>
      <c r="I17" s="501"/>
      <c r="J17" s="502"/>
      <c r="K17" s="215"/>
      <c r="L17" s="501"/>
      <c r="M17" s="502"/>
      <c r="N17" s="215"/>
      <c r="O17" s="497">
        <f>+ROUND(+F17+I17+L17,0)</f>
        <v>0</v>
      </c>
      <c r="P17" s="498">
        <f>+ROUND(+G17+J17+M17,0)</f>
        <v>0</v>
      </c>
      <c r="Q17" s="31"/>
      <c r="R17" s="747" t="s">
        <v>279</v>
      </c>
      <c r="S17" s="748"/>
      <c r="T17" s="749"/>
      <c r="U17" s="34"/>
      <c r="V17" s="2"/>
      <c r="W17" s="203" t="s">
        <v>293</v>
      </c>
      <c r="X17" s="204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0" t="s">
        <v>83</v>
      </c>
      <c r="C18" s="140"/>
      <c r="D18" s="141"/>
      <c r="E18" s="15"/>
      <c r="F18" s="218">
        <v>38196</v>
      </c>
      <c r="G18" s="640">
        <v>30557</v>
      </c>
      <c r="H18" s="15"/>
      <c r="I18" s="218"/>
      <c r="J18" s="217"/>
      <c r="K18" s="215"/>
      <c r="L18" s="218"/>
      <c r="M18" s="217"/>
      <c r="N18" s="215"/>
      <c r="O18" s="353">
        <f t="shared" si="0"/>
        <v>38196</v>
      </c>
      <c r="P18" s="366">
        <f t="shared" si="0"/>
        <v>30557</v>
      </c>
      <c r="Q18" s="31"/>
      <c r="R18" s="733" t="s">
        <v>150</v>
      </c>
      <c r="S18" s="734"/>
      <c r="T18" s="735"/>
      <c r="U18" s="34"/>
      <c r="V18" s="2"/>
      <c r="W18" s="92" t="s">
        <v>294</v>
      </c>
      <c r="X18" s="93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0" t="s">
        <v>68</v>
      </c>
      <c r="C19" s="140"/>
      <c r="D19" s="141"/>
      <c r="E19" s="15"/>
      <c r="F19" s="220">
        <v>86070</v>
      </c>
      <c r="G19" s="642">
        <v>36900</v>
      </c>
      <c r="H19" s="15"/>
      <c r="I19" s="220"/>
      <c r="J19" s="219"/>
      <c r="K19" s="215"/>
      <c r="L19" s="220"/>
      <c r="M19" s="219"/>
      <c r="N19" s="215"/>
      <c r="O19" s="348">
        <f t="shared" si="0"/>
        <v>86070</v>
      </c>
      <c r="P19" s="400">
        <f t="shared" si="0"/>
        <v>36900</v>
      </c>
      <c r="Q19" s="31"/>
      <c r="R19" s="744" t="s">
        <v>151</v>
      </c>
      <c r="S19" s="745"/>
      <c r="T19" s="746"/>
      <c r="U19" s="34"/>
      <c r="V19" s="2"/>
      <c r="W19" s="205" t="s">
        <v>295</v>
      </c>
      <c r="X19" s="206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0" t="s">
        <v>50</v>
      </c>
      <c r="C20" s="140"/>
      <c r="D20" s="141"/>
      <c r="E20" s="15"/>
      <c r="F20" s="220">
        <v>729598</v>
      </c>
      <c r="G20" s="642">
        <v>648648</v>
      </c>
      <c r="H20" s="15"/>
      <c r="I20" s="220"/>
      <c r="J20" s="219"/>
      <c r="K20" s="215"/>
      <c r="L20" s="220"/>
      <c r="M20" s="219"/>
      <c r="N20" s="215"/>
      <c r="O20" s="348">
        <f t="shared" si="0"/>
        <v>729598</v>
      </c>
      <c r="P20" s="400">
        <f t="shared" si="0"/>
        <v>648648</v>
      </c>
      <c r="Q20" s="31"/>
      <c r="R20" s="744" t="s">
        <v>152</v>
      </c>
      <c r="S20" s="745"/>
      <c r="T20" s="746"/>
      <c r="U20" s="34"/>
      <c r="V20" s="2"/>
      <c r="W20" s="203" t="s">
        <v>296</v>
      </c>
      <c r="X20" s="204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0" t="s">
        <v>148</v>
      </c>
      <c r="C21" s="140"/>
      <c r="D21" s="141"/>
      <c r="E21" s="15"/>
      <c r="F21" s="220"/>
      <c r="G21" s="642"/>
      <c r="H21" s="15"/>
      <c r="I21" s="220"/>
      <c r="J21" s="219"/>
      <c r="K21" s="215"/>
      <c r="L21" s="220"/>
      <c r="M21" s="219"/>
      <c r="N21" s="215"/>
      <c r="O21" s="348">
        <f t="shared" si="0"/>
        <v>0</v>
      </c>
      <c r="P21" s="400">
        <f t="shared" si="0"/>
        <v>0</v>
      </c>
      <c r="Q21" s="31"/>
      <c r="R21" s="744" t="s">
        <v>153</v>
      </c>
      <c r="S21" s="745"/>
      <c r="T21" s="746"/>
      <c r="U21" s="34"/>
      <c r="V21" s="2"/>
      <c r="W21" s="92" t="s">
        <v>297</v>
      </c>
      <c r="X21" s="93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0" t="s">
        <v>51</v>
      </c>
      <c r="C22" s="140"/>
      <c r="D22" s="141"/>
      <c r="E22" s="15"/>
      <c r="F22" s="220"/>
      <c r="G22" s="642"/>
      <c r="H22" s="15"/>
      <c r="I22" s="220"/>
      <c r="J22" s="219"/>
      <c r="K22" s="215"/>
      <c r="L22" s="220"/>
      <c r="M22" s="219">
        <v>0</v>
      </c>
      <c r="N22" s="215"/>
      <c r="O22" s="348">
        <f t="shared" si="0"/>
        <v>0</v>
      </c>
      <c r="P22" s="400">
        <f t="shared" si="0"/>
        <v>0</v>
      </c>
      <c r="Q22" s="31"/>
      <c r="R22" s="744" t="s">
        <v>154</v>
      </c>
      <c r="S22" s="745"/>
      <c r="T22" s="746"/>
      <c r="U22" s="34"/>
      <c r="V22" s="2"/>
      <c r="W22" s="205" t="s">
        <v>298</v>
      </c>
      <c r="X22" s="206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0" t="s">
        <v>52</v>
      </c>
      <c r="C23" s="140"/>
      <c r="D23" s="141"/>
      <c r="E23" s="15"/>
      <c r="F23" s="220"/>
      <c r="G23" s="642"/>
      <c r="H23" s="15"/>
      <c r="I23" s="220"/>
      <c r="J23" s="219"/>
      <c r="K23" s="215"/>
      <c r="L23" s="220"/>
      <c r="M23" s="219"/>
      <c r="N23" s="215"/>
      <c r="O23" s="348">
        <f t="shared" si="0"/>
        <v>0</v>
      </c>
      <c r="P23" s="400">
        <f t="shared" si="0"/>
        <v>0</v>
      </c>
      <c r="Q23" s="31"/>
      <c r="R23" s="744" t="s">
        <v>155</v>
      </c>
      <c r="S23" s="745"/>
      <c r="T23" s="746"/>
      <c r="U23" s="34"/>
      <c r="V23" s="2"/>
      <c r="W23" s="203" t="s">
        <v>299</v>
      </c>
      <c r="X23" s="204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1" t="s">
        <v>74</v>
      </c>
      <c r="C24" s="142"/>
      <c r="D24" s="143"/>
      <c r="E24" s="15"/>
      <c r="F24" s="222">
        <v>188981</v>
      </c>
      <c r="G24" s="641">
        <v>23143</v>
      </c>
      <c r="H24" s="15"/>
      <c r="I24" s="222"/>
      <c r="J24" s="221"/>
      <c r="K24" s="215"/>
      <c r="L24" s="222"/>
      <c r="M24" s="221"/>
      <c r="N24" s="215"/>
      <c r="O24" s="349">
        <f t="shared" si="0"/>
        <v>188981</v>
      </c>
      <c r="P24" s="372">
        <f t="shared" si="0"/>
        <v>23143</v>
      </c>
      <c r="Q24" s="31"/>
      <c r="R24" s="750" t="s">
        <v>280</v>
      </c>
      <c r="S24" s="751"/>
      <c r="T24" s="752"/>
      <c r="U24" s="34"/>
      <c r="V24" s="2"/>
      <c r="W24" s="92" t="s">
        <v>300</v>
      </c>
      <c r="X24" s="93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32" t="s">
        <v>130</v>
      </c>
      <c r="C25" s="133"/>
      <c r="D25" s="134"/>
      <c r="E25" s="15"/>
      <c r="F25" s="224">
        <f>+ROUND(+SUM(F15,F16,F18,F19,F20,F21,F22,F23,F24),0)</f>
        <v>1962092</v>
      </c>
      <c r="G25" s="223">
        <f>+ROUND(+SUM(G15,G16,G18,G19,G20,G21,G22,G23,G24),0)</f>
        <v>1770979</v>
      </c>
      <c r="H25" s="15"/>
      <c r="I25" s="224">
        <f>+ROUND(+SUM(I15,I16,I18,I19,I20,I21,I22,I23,I24),0)</f>
        <v>0</v>
      </c>
      <c r="J25" s="223">
        <f>+ROUND(+SUM(J15,J16,J18,J19,J20,J21,J22,J23,J24),0)</f>
        <v>0</v>
      </c>
      <c r="K25" s="215"/>
      <c r="L25" s="224">
        <f>+ROUND(+SUM(L15,L16,L18,L19,L20,L21,L22,L23,L24),0)</f>
        <v>0</v>
      </c>
      <c r="M25" s="223">
        <f>+ROUND(+SUM(M15,M16,M18,M19,M20,M21,M22,M23,M24),0)</f>
        <v>0</v>
      </c>
      <c r="N25" s="215"/>
      <c r="O25" s="350">
        <f>+ROUND(+SUM(O15,O16,O18,O19,O20,O21,O22,O23,O24),0)</f>
        <v>1962092</v>
      </c>
      <c r="P25" s="351">
        <f>+ROUND(+SUM(P15,P16,P18,P19,P20,P21,P22,P23,P24),0)</f>
        <v>1770979</v>
      </c>
      <c r="Q25" s="31"/>
      <c r="R25" s="753" t="s">
        <v>182</v>
      </c>
      <c r="S25" s="754"/>
      <c r="T25" s="755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84" t="s">
        <v>144</v>
      </c>
      <c r="C26" s="109"/>
      <c r="D26" s="113"/>
      <c r="E26" s="15"/>
      <c r="F26" s="225"/>
      <c r="G26" s="214"/>
      <c r="H26" s="15"/>
      <c r="I26" s="225"/>
      <c r="J26" s="214"/>
      <c r="K26" s="215"/>
      <c r="L26" s="225"/>
      <c r="M26" s="214"/>
      <c r="N26" s="215"/>
      <c r="O26" s="352"/>
      <c r="P26" s="345"/>
      <c r="Q26" s="31"/>
      <c r="R26" s="184" t="s">
        <v>144</v>
      </c>
      <c r="S26" s="109"/>
      <c r="T26" s="113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85" t="s">
        <v>67</v>
      </c>
      <c r="C27" s="144"/>
      <c r="D27" s="145"/>
      <c r="E27" s="15"/>
      <c r="F27" s="218">
        <v>4130</v>
      </c>
      <c r="G27" s="640">
        <v>7800</v>
      </c>
      <c r="H27" s="15"/>
      <c r="I27" s="218"/>
      <c r="J27" s="217"/>
      <c r="K27" s="215"/>
      <c r="L27" s="218"/>
      <c r="M27" s="217"/>
      <c r="N27" s="215"/>
      <c r="O27" s="353">
        <f aca="true" t="shared" si="1" ref="O27:P29">+ROUND(+F27+I27+L27,0)</f>
        <v>4130</v>
      </c>
      <c r="P27" s="366">
        <f t="shared" si="1"/>
        <v>7800</v>
      </c>
      <c r="Q27" s="31"/>
      <c r="R27" s="733" t="s">
        <v>156</v>
      </c>
      <c r="S27" s="734"/>
      <c r="T27" s="735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0" t="s">
        <v>71</v>
      </c>
      <c r="C28" s="140"/>
      <c r="D28" s="141"/>
      <c r="E28" s="15"/>
      <c r="F28" s="220">
        <v>12509</v>
      </c>
      <c r="G28" s="642">
        <v>3592</v>
      </c>
      <c r="H28" s="15"/>
      <c r="I28" s="220"/>
      <c r="J28" s="219"/>
      <c r="K28" s="215"/>
      <c r="L28" s="220"/>
      <c r="M28" s="219"/>
      <c r="N28" s="215"/>
      <c r="O28" s="348">
        <f t="shared" si="1"/>
        <v>12509</v>
      </c>
      <c r="P28" s="400">
        <f t="shared" si="1"/>
        <v>3592</v>
      </c>
      <c r="Q28" s="31"/>
      <c r="R28" s="744" t="s">
        <v>157</v>
      </c>
      <c r="S28" s="745"/>
      <c r="T28" s="74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1" t="s">
        <v>145</v>
      </c>
      <c r="C29" s="142"/>
      <c r="D29" s="143"/>
      <c r="E29" s="15"/>
      <c r="F29" s="222"/>
      <c r="G29" s="641"/>
      <c r="H29" s="15"/>
      <c r="I29" s="222"/>
      <c r="J29" s="221"/>
      <c r="K29" s="215"/>
      <c r="L29" s="222"/>
      <c r="M29" s="221"/>
      <c r="N29" s="215"/>
      <c r="O29" s="349">
        <f t="shared" si="1"/>
        <v>0</v>
      </c>
      <c r="P29" s="372">
        <f t="shared" si="1"/>
        <v>0</v>
      </c>
      <c r="Q29" s="31"/>
      <c r="R29" s="750" t="s">
        <v>158</v>
      </c>
      <c r="S29" s="751"/>
      <c r="T29" s="752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32" t="s">
        <v>255</v>
      </c>
      <c r="C30" s="133"/>
      <c r="D30" s="134"/>
      <c r="E30" s="15"/>
      <c r="F30" s="224">
        <f>+ROUND(+SUM(F27:F29),0)</f>
        <v>16639</v>
      </c>
      <c r="G30" s="223">
        <f>+ROUND(+SUM(G27:G29),0)</f>
        <v>11392</v>
      </c>
      <c r="H30" s="15"/>
      <c r="I30" s="224">
        <f>+ROUND(+SUM(I27:I29),0)</f>
        <v>0</v>
      </c>
      <c r="J30" s="223">
        <f>+ROUND(+SUM(J27:J29),0)</f>
        <v>0</v>
      </c>
      <c r="K30" s="215"/>
      <c r="L30" s="224">
        <f>+ROUND(+SUM(L27:L29),0)</f>
        <v>0</v>
      </c>
      <c r="M30" s="223">
        <f>+ROUND(+SUM(M27:M29),0)</f>
        <v>0</v>
      </c>
      <c r="N30" s="215"/>
      <c r="O30" s="350">
        <f>+ROUND(+SUM(O27:O29),0)</f>
        <v>16639</v>
      </c>
      <c r="P30" s="351">
        <f>+ROUND(+SUM(P27:P29),0)</f>
        <v>11392</v>
      </c>
      <c r="Q30" s="31"/>
      <c r="R30" s="753" t="s">
        <v>183</v>
      </c>
      <c r="S30" s="754"/>
      <c r="T30" s="755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46"/>
      <c r="C31" s="147"/>
      <c r="D31" s="148"/>
      <c r="E31" s="15"/>
      <c r="F31" s="226"/>
      <c r="G31" s="216"/>
      <c r="H31" s="15"/>
      <c r="I31" s="226"/>
      <c r="J31" s="216"/>
      <c r="K31" s="215"/>
      <c r="L31" s="226"/>
      <c r="M31" s="216"/>
      <c r="N31" s="215"/>
      <c r="O31" s="354"/>
      <c r="P31" s="347"/>
      <c r="Q31" s="31"/>
      <c r="R31" s="289"/>
      <c r="S31" s="290"/>
      <c r="T31" s="29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86" t="s">
        <v>91</v>
      </c>
      <c r="C32" s="110"/>
      <c r="D32" s="115"/>
      <c r="E32" s="15"/>
      <c r="F32" s="228"/>
      <c r="G32" s="227"/>
      <c r="H32" s="15"/>
      <c r="I32" s="228"/>
      <c r="J32" s="227"/>
      <c r="K32" s="215"/>
      <c r="L32" s="228"/>
      <c r="M32" s="227"/>
      <c r="N32" s="215"/>
      <c r="O32" s="355"/>
      <c r="P32" s="356"/>
      <c r="Q32" s="31"/>
      <c r="R32" s="292"/>
      <c r="S32" s="293"/>
      <c r="T32" s="29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87" t="s">
        <v>70</v>
      </c>
      <c r="C33" s="111"/>
      <c r="D33" s="116"/>
      <c r="E33" s="15"/>
      <c r="F33" s="230"/>
      <c r="G33" s="229"/>
      <c r="H33" s="15"/>
      <c r="I33" s="230"/>
      <c r="J33" s="229"/>
      <c r="K33" s="215"/>
      <c r="L33" s="230"/>
      <c r="M33" s="229"/>
      <c r="N33" s="215"/>
      <c r="O33" s="357"/>
      <c r="P33" s="358"/>
      <c r="Q33" s="31"/>
      <c r="R33" s="295"/>
      <c r="S33" s="296"/>
      <c r="T33" s="29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188" t="s">
        <v>80</v>
      </c>
      <c r="C34" s="111"/>
      <c r="D34" s="116"/>
      <c r="E34" s="15"/>
      <c r="F34" s="232"/>
      <c r="G34" s="231"/>
      <c r="H34" s="15"/>
      <c r="I34" s="232"/>
      <c r="J34" s="231"/>
      <c r="K34" s="215"/>
      <c r="L34" s="232"/>
      <c r="M34" s="231"/>
      <c r="N34" s="215"/>
      <c r="O34" s="359"/>
      <c r="P34" s="360"/>
      <c r="Q34" s="31"/>
      <c r="R34" s="298"/>
      <c r="S34" s="299"/>
      <c r="T34" s="30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188" t="s">
        <v>72</v>
      </c>
      <c r="C35" s="111"/>
      <c r="D35" s="116"/>
      <c r="E35" s="15"/>
      <c r="F35" s="232"/>
      <c r="G35" s="231"/>
      <c r="H35" s="15"/>
      <c r="I35" s="232"/>
      <c r="J35" s="231"/>
      <c r="K35" s="215"/>
      <c r="L35" s="232"/>
      <c r="M35" s="231"/>
      <c r="N35" s="215"/>
      <c r="O35" s="359"/>
      <c r="P35" s="360"/>
      <c r="Q35" s="31"/>
      <c r="R35" s="298"/>
      <c r="S35" s="299"/>
      <c r="T35" s="30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189" t="s">
        <v>73</v>
      </c>
      <c r="C36" s="111"/>
      <c r="D36" s="116"/>
      <c r="E36" s="15"/>
      <c r="F36" s="234"/>
      <c r="G36" s="233"/>
      <c r="H36" s="15"/>
      <c r="I36" s="234"/>
      <c r="J36" s="233"/>
      <c r="K36" s="215"/>
      <c r="L36" s="234"/>
      <c r="M36" s="233"/>
      <c r="N36" s="215"/>
      <c r="O36" s="361"/>
      <c r="P36" s="362"/>
      <c r="Q36" s="31"/>
      <c r="R36" s="301"/>
      <c r="S36" s="302"/>
      <c r="T36" s="30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44" t="s">
        <v>256</v>
      </c>
      <c r="C37" s="133"/>
      <c r="D37" s="134"/>
      <c r="E37" s="15"/>
      <c r="F37" s="236">
        <v>-32918</v>
      </c>
      <c r="G37" s="643">
        <v>-34027</v>
      </c>
      <c r="H37" s="15"/>
      <c r="I37" s="236"/>
      <c r="J37" s="235"/>
      <c r="K37" s="215"/>
      <c r="L37" s="236"/>
      <c r="M37" s="235"/>
      <c r="N37" s="215"/>
      <c r="O37" s="350">
        <f aca="true" t="shared" si="2" ref="O37:P40">+ROUND(+F37+I37+L37,0)</f>
        <v>-32918</v>
      </c>
      <c r="P37" s="351">
        <f t="shared" si="2"/>
        <v>-34027</v>
      </c>
      <c r="Q37" s="31"/>
      <c r="R37" s="753" t="s">
        <v>184</v>
      </c>
      <c r="S37" s="754"/>
      <c r="T37" s="755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0" t="s">
        <v>122</v>
      </c>
      <c r="C38" s="151"/>
      <c r="D38" s="152"/>
      <c r="E38" s="15"/>
      <c r="F38" s="238">
        <v>-18911</v>
      </c>
      <c r="G38" s="644">
        <v>-20554</v>
      </c>
      <c r="H38" s="15"/>
      <c r="I38" s="238"/>
      <c r="J38" s="237"/>
      <c r="K38" s="215"/>
      <c r="L38" s="238"/>
      <c r="M38" s="237"/>
      <c r="N38" s="215"/>
      <c r="O38" s="363">
        <f t="shared" si="2"/>
        <v>-18911</v>
      </c>
      <c r="P38" s="401">
        <f t="shared" si="2"/>
        <v>-20554</v>
      </c>
      <c r="Q38" s="31"/>
      <c r="R38" s="756" t="s">
        <v>159</v>
      </c>
      <c r="S38" s="757"/>
      <c r="T38" s="758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1" t="s">
        <v>142</v>
      </c>
      <c r="C39" s="153"/>
      <c r="D39" s="154"/>
      <c r="E39" s="15"/>
      <c r="F39" s="240">
        <v>-14007</v>
      </c>
      <c r="G39" s="645">
        <v>-13473</v>
      </c>
      <c r="H39" s="15"/>
      <c r="I39" s="240"/>
      <c r="J39" s="239"/>
      <c r="K39" s="215"/>
      <c r="L39" s="240"/>
      <c r="M39" s="239"/>
      <c r="N39" s="215"/>
      <c r="O39" s="364">
        <f t="shared" si="2"/>
        <v>-14007</v>
      </c>
      <c r="P39" s="402">
        <f t="shared" si="2"/>
        <v>-13473</v>
      </c>
      <c r="Q39" s="31"/>
      <c r="R39" s="759" t="s">
        <v>160</v>
      </c>
      <c r="S39" s="760"/>
      <c r="T39" s="761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192" t="s">
        <v>123</v>
      </c>
      <c r="C40" s="155"/>
      <c r="D40" s="156"/>
      <c r="E40" s="15"/>
      <c r="F40" s="242"/>
      <c r="G40" s="241"/>
      <c r="H40" s="15"/>
      <c r="I40" s="242"/>
      <c r="J40" s="241"/>
      <c r="K40" s="215"/>
      <c r="L40" s="242"/>
      <c r="M40" s="241"/>
      <c r="N40" s="215"/>
      <c r="O40" s="365">
        <f t="shared" si="2"/>
        <v>0</v>
      </c>
      <c r="P40" s="403">
        <f t="shared" si="2"/>
        <v>0</v>
      </c>
      <c r="Q40" s="31"/>
      <c r="R40" s="762" t="s">
        <v>161</v>
      </c>
      <c r="S40" s="763"/>
      <c r="T40" s="764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49"/>
      <c r="C41" s="150"/>
      <c r="D41" s="114"/>
      <c r="E41" s="15"/>
      <c r="F41" s="226"/>
      <c r="G41" s="216"/>
      <c r="H41" s="15"/>
      <c r="I41" s="226"/>
      <c r="J41" s="216"/>
      <c r="K41" s="215"/>
      <c r="L41" s="226"/>
      <c r="M41" s="216"/>
      <c r="N41" s="215"/>
      <c r="O41" s="354"/>
      <c r="P41" s="347"/>
      <c r="Q41" s="31"/>
      <c r="R41" s="304"/>
      <c r="S41" s="305"/>
      <c r="T41" s="30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32" t="s">
        <v>75</v>
      </c>
      <c r="C42" s="133"/>
      <c r="D42" s="134"/>
      <c r="E42" s="15"/>
      <c r="F42" s="236"/>
      <c r="G42" s="235"/>
      <c r="H42" s="15"/>
      <c r="I42" s="236"/>
      <c r="J42" s="235"/>
      <c r="K42" s="215"/>
      <c r="L42" s="236"/>
      <c r="M42" s="235"/>
      <c r="N42" s="215"/>
      <c r="O42" s="350">
        <f>+ROUND(+F42+I42+L42,0)</f>
        <v>0</v>
      </c>
      <c r="P42" s="351">
        <f>+ROUND(+G42+J42+M42,0)</f>
        <v>0</v>
      </c>
      <c r="Q42" s="31"/>
      <c r="R42" s="753" t="s">
        <v>185</v>
      </c>
      <c r="S42" s="754"/>
      <c r="T42" s="755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84" t="s">
        <v>53</v>
      </c>
      <c r="C43" s="109"/>
      <c r="D43" s="113"/>
      <c r="E43" s="15"/>
      <c r="F43" s="225"/>
      <c r="G43" s="214"/>
      <c r="H43" s="15"/>
      <c r="I43" s="225"/>
      <c r="J43" s="214"/>
      <c r="K43" s="215"/>
      <c r="L43" s="225"/>
      <c r="M43" s="214"/>
      <c r="N43" s="215"/>
      <c r="O43" s="352"/>
      <c r="P43" s="345"/>
      <c r="Q43" s="31"/>
      <c r="R43" s="184" t="s">
        <v>53</v>
      </c>
      <c r="S43" s="109"/>
      <c r="T43" s="113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85" t="s">
        <v>54</v>
      </c>
      <c r="C44" s="144"/>
      <c r="D44" s="145"/>
      <c r="E44" s="15"/>
      <c r="F44" s="218"/>
      <c r="G44" s="217"/>
      <c r="H44" s="15"/>
      <c r="I44" s="218">
        <v>1840938</v>
      </c>
      <c r="J44" s="640">
        <v>2168463</v>
      </c>
      <c r="K44" s="215"/>
      <c r="L44" s="218"/>
      <c r="M44" s="217"/>
      <c r="N44" s="215"/>
      <c r="O44" s="353">
        <f aca="true" t="shared" si="3" ref="O44:P47">+ROUND(+F44+I44+L44,0)</f>
        <v>1840938</v>
      </c>
      <c r="P44" s="366">
        <f t="shared" si="3"/>
        <v>2168463</v>
      </c>
      <c r="Q44" s="31"/>
      <c r="R44" s="733" t="s">
        <v>162</v>
      </c>
      <c r="S44" s="734"/>
      <c r="T44" s="735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0" t="s">
        <v>55</v>
      </c>
      <c r="C45" s="140"/>
      <c r="D45" s="141"/>
      <c r="E45" s="15"/>
      <c r="F45" s="220"/>
      <c r="G45" s="219"/>
      <c r="H45" s="15"/>
      <c r="I45" s="220"/>
      <c r="J45" s="219"/>
      <c r="K45" s="215"/>
      <c r="L45" s="220"/>
      <c r="M45" s="219"/>
      <c r="N45" s="215"/>
      <c r="O45" s="348">
        <f t="shared" si="3"/>
        <v>0</v>
      </c>
      <c r="P45" s="400">
        <f t="shared" si="3"/>
        <v>0</v>
      </c>
      <c r="Q45" s="31"/>
      <c r="R45" s="744" t="s">
        <v>163</v>
      </c>
      <c r="S45" s="745"/>
      <c r="T45" s="746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42" t="s">
        <v>251</v>
      </c>
      <c r="C46" s="140"/>
      <c r="D46" s="141"/>
      <c r="E46" s="15"/>
      <c r="F46" s="220"/>
      <c r="G46" s="219"/>
      <c r="H46" s="15"/>
      <c r="I46" s="220"/>
      <c r="J46" s="219"/>
      <c r="K46" s="215"/>
      <c r="L46" s="220"/>
      <c r="M46" s="219"/>
      <c r="N46" s="215"/>
      <c r="O46" s="348">
        <f t="shared" si="3"/>
        <v>0</v>
      </c>
      <c r="P46" s="400">
        <f t="shared" si="3"/>
        <v>0</v>
      </c>
      <c r="Q46" s="31"/>
      <c r="R46" s="744" t="s">
        <v>164</v>
      </c>
      <c r="S46" s="745"/>
      <c r="T46" s="74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1" t="s">
        <v>56</v>
      </c>
      <c r="C47" s="142"/>
      <c r="D47" s="143"/>
      <c r="E47" s="15"/>
      <c r="F47" s="222">
        <v>25523</v>
      </c>
      <c r="G47" s="641">
        <v>27290</v>
      </c>
      <c r="H47" s="15"/>
      <c r="I47" s="222"/>
      <c r="J47" s="221"/>
      <c r="K47" s="215"/>
      <c r="L47" s="222"/>
      <c r="M47" s="221"/>
      <c r="N47" s="215"/>
      <c r="O47" s="349">
        <f t="shared" si="3"/>
        <v>25523</v>
      </c>
      <c r="P47" s="372">
        <f t="shared" si="3"/>
        <v>27290</v>
      </c>
      <c r="Q47" s="31"/>
      <c r="R47" s="750" t="s">
        <v>165</v>
      </c>
      <c r="S47" s="751"/>
      <c r="T47" s="752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32" t="s">
        <v>131</v>
      </c>
      <c r="C48" s="133"/>
      <c r="D48" s="134"/>
      <c r="E48" s="15"/>
      <c r="F48" s="224">
        <f>+ROUND(+SUM(F44:F47),0)</f>
        <v>25523</v>
      </c>
      <c r="G48" s="223">
        <f>+ROUND(+SUM(G44:G47),0)</f>
        <v>27290</v>
      </c>
      <c r="H48" s="15"/>
      <c r="I48" s="224">
        <f>+ROUND(+SUM(I44:I47),0)</f>
        <v>1840938</v>
      </c>
      <c r="J48" s="223">
        <f>+ROUND(+SUM(J44:J47),0)</f>
        <v>2168463</v>
      </c>
      <c r="K48" s="215"/>
      <c r="L48" s="224">
        <f>+ROUND(+SUM(L44:L47),0)</f>
        <v>0</v>
      </c>
      <c r="M48" s="223">
        <f>+ROUND(+SUM(M44:M47),0)</f>
        <v>0</v>
      </c>
      <c r="N48" s="215"/>
      <c r="O48" s="350">
        <f>+ROUND(+SUM(O44:O47),0)</f>
        <v>1866461</v>
      </c>
      <c r="P48" s="351">
        <f>+ROUND(+SUM(P44:P47),0)</f>
        <v>2195753</v>
      </c>
      <c r="Q48" s="31"/>
      <c r="R48" s="753" t="s">
        <v>186</v>
      </c>
      <c r="S48" s="754"/>
      <c r="T48" s="755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68"/>
      <c r="C49" s="147"/>
      <c r="D49" s="148"/>
      <c r="E49" s="15"/>
      <c r="F49" s="244"/>
      <c r="G49" s="243"/>
      <c r="H49" s="15"/>
      <c r="I49" s="244"/>
      <c r="J49" s="243"/>
      <c r="K49" s="215"/>
      <c r="L49" s="244"/>
      <c r="M49" s="243"/>
      <c r="N49" s="215"/>
      <c r="O49" s="353"/>
      <c r="P49" s="366"/>
      <c r="Q49" s="31"/>
      <c r="R49" s="307"/>
      <c r="S49" s="308"/>
      <c r="T49" s="30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193" t="s">
        <v>105</v>
      </c>
      <c r="C50" s="169"/>
      <c r="D50" s="170"/>
      <c r="E50" s="15"/>
      <c r="F50" s="246">
        <f>+ROUND(F25+F30+F37+F42+F48,0)</f>
        <v>1971336</v>
      </c>
      <c r="G50" s="245">
        <f>+ROUND(G25+G30+G37+G42+G48,0)</f>
        <v>1775634</v>
      </c>
      <c r="H50" s="15"/>
      <c r="I50" s="246">
        <f>+ROUND(I25+I30+I37+I42+I48,0)</f>
        <v>1840938</v>
      </c>
      <c r="J50" s="245">
        <f>+ROUND(J25+J30+J37+J42+J48,0)</f>
        <v>2168463</v>
      </c>
      <c r="K50" s="215"/>
      <c r="L50" s="246">
        <f>+ROUND(L25+L30+L37+L42+L48,0)</f>
        <v>0</v>
      </c>
      <c r="M50" s="245">
        <f>+ROUND(M25+M30+M37+M42+M48,0)</f>
        <v>0</v>
      </c>
      <c r="N50" s="215"/>
      <c r="O50" s="367">
        <f>+ROUND(O25+O30+O37+O42+O48,0)</f>
        <v>3812274</v>
      </c>
      <c r="P50" s="368">
        <f>+ROUND(P25+P30+P37+P42+P48,0)</f>
        <v>3944097</v>
      </c>
      <c r="Q50" s="94"/>
      <c r="R50" s="765" t="s">
        <v>187</v>
      </c>
      <c r="S50" s="766"/>
      <c r="T50" s="76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82" t="s">
        <v>79</v>
      </c>
      <c r="C51" s="124"/>
      <c r="D51" s="125"/>
      <c r="E51" s="15"/>
      <c r="F51" s="226"/>
      <c r="G51" s="216"/>
      <c r="H51" s="15"/>
      <c r="I51" s="226"/>
      <c r="J51" s="216"/>
      <c r="K51" s="215"/>
      <c r="L51" s="226"/>
      <c r="M51" s="216"/>
      <c r="N51" s="215"/>
      <c r="O51" s="354"/>
      <c r="P51" s="347"/>
      <c r="Q51" s="31"/>
      <c r="R51" s="182" t="s">
        <v>79</v>
      </c>
      <c r="S51" s="124"/>
      <c r="T51" s="125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84" t="s">
        <v>66</v>
      </c>
      <c r="C52" s="109"/>
      <c r="D52" s="113"/>
      <c r="E52" s="15"/>
      <c r="F52" s="226"/>
      <c r="G52" s="216"/>
      <c r="H52" s="15"/>
      <c r="I52" s="226"/>
      <c r="J52" s="216"/>
      <c r="K52" s="215"/>
      <c r="L52" s="226"/>
      <c r="M52" s="216"/>
      <c r="N52" s="215"/>
      <c r="O52" s="354"/>
      <c r="P52" s="347"/>
      <c r="Q52" s="31"/>
      <c r="R52" s="184" t="s">
        <v>66</v>
      </c>
      <c r="S52" s="109"/>
      <c r="T52" s="113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85" t="s">
        <v>84</v>
      </c>
      <c r="C53" s="144"/>
      <c r="D53" s="145"/>
      <c r="E53" s="15"/>
      <c r="F53" s="248">
        <v>2109031</v>
      </c>
      <c r="G53" s="646">
        <v>2122725</v>
      </c>
      <c r="H53" s="15"/>
      <c r="I53" s="248">
        <f>38316+15480+49658</f>
        <v>103454</v>
      </c>
      <c r="J53" s="646">
        <v>556231</v>
      </c>
      <c r="K53" s="215"/>
      <c r="L53" s="248"/>
      <c r="M53" s="247"/>
      <c r="N53" s="215"/>
      <c r="O53" s="354">
        <f aca="true" t="shared" si="4" ref="O53:P57">+ROUND(+F53+I53+L53,0)</f>
        <v>2212485</v>
      </c>
      <c r="P53" s="347">
        <f t="shared" si="4"/>
        <v>2678956</v>
      </c>
      <c r="Q53" s="31"/>
      <c r="R53" s="733" t="s">
        <v>188</v>
      </c>
      <c r="S53" s="734"/>
      <c r="T53" s="735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0" t="s">
        <v>76</v>
      </c>
      <c r="C54" s="140"/>
      <c r="D54" s="141"/>
      <c r="E54" s="15"/>
      <c r="F54" s="222">
        <v>57614</v>
      </c>
      <c r="G54" s="641">
        <v>45930</v>
      </c>
      <c r="H54" s="15"/>
      <c r="I54" s="222"/>
      <c r="J54" s="641"/>
      <c r="K54" s="215"/>
      <c r="L54" s="222"/>
      <c r="M54" s="221"/>
      <c r="N54" s="215"/>
      <c r="O54" s="349">
        <f t="shared" si="4"/>
        <v>57614</v>
      </c>
      <c r="P54" s="372">
        <f t="shared" si="4"/>
        <v>45930</v>
      </c>
      <c r="Q54" s="31"/>
      <c r="R54" s="744" t="s">
        <v>166</v>
      </c>
      <c r="S54" s="745"/>
      <c r="T54" s="746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0" t="s">
        <v>87</v>
      </c>
      <c r="C55" s="140"/>
      <c r="D55" s="141"/>
      <c r="E55" s="15"/>
      <c r="F55" s="222">
        <v>34909</v>
      </c>
      <c r="G55" s="641">
        <v>40613</v>
      </c>
      <c r="H55" s="15"/>
      <c r="I55" s="222">
        <v>2693</v>
      </c>
      <c r="J55" s="641"/>
      <c r="K55" s="215"/>
      <c r="L55" s="222"/>
      <c r="M55" s="221"/>
      <c r="N55" s="215"/>
      <c r="O55" s="349">
        <f t="shared" si="4"/>
        <v>37602</v>
      </c>
      <c r="P55" s="372">
        <f t="shared" si="4"/>
        <v>40613</v>
      </c>
      <c r="Q55" s="31"/>
      <c r="R55" s="744" t="s">
        <v>167</v>
      </c>
      <c r="S55" s="745"/>
      <c r="T55" s="746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0" t="s">
        <v>57</v>
      </c>
      <c r="C56" s="140"/>
      <c r="D56" s="141"/>
      <c r="E56" s="15"/>
      <c r="F56" s="222">
        <v>4344163</v>
      </c>
      <c r="G56" s="641">
        <v>3505769</v>
      </c>
      <c r="H56" s="15"/>
      <c r="I56" s="222">
        <f>31237+575193</f>
        <v>606430</v>
      </c>
      <c r="J56" s="641">
        <v>400349</v>
      </c>
      <c r="K56" s="215"/>
      <c r="L56" s="222"/>
      <c r="M56" s="221"/>
      <c r="N56" s="215"/>
      <c r="O56" s="349">
        <f t="shared" si="4"/>
        <v>4950593</v>
      </c>
      <c r="P56" s="372">
        <f t="shared" si="4"/>
        <v>3906118</v>
      </c>
      <c r="Q56" s="31"/>
      <c r="R56" s="744" t="s">
        <v>168</v>
      </c>
      <c r="S56" s="745"/>
      <c r="T56" s="74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1" t="s">
        <v>58</v>
      </c>
      <c r="C57" s="142"/>
      <c r="D57" s="143"/>
      <c r="E57" s="15"/>
      <c r="F57" s="222">
        <v>882436</v>
      </c>
      <c r="G57" s="641">
        <v>726958</v>
      </c>
      <c r="H57" s="15"/>
      <c r="I57" s="222">
        <f>9583+92253</f>
        <v>101836</v>
      </c>
      <c r="J57" s="641">
        <v>62174</v>
      </c>
      <c r="K57" s="215"/>
      <c r="L57" s="222"/>
      <c r="M57" s="221"/>
      <c r="N57" s="215"/>
      <c r="O57" s="349">
        <f t="shared" si="4"/>
        <v>984272</v>
      </c>
      <c r="P57" s="372">
        <f t="shared" si="4"/>
        <v>789132</v>
      </c>
      <c r="Q57" s="31"/>
      <c r="R57" s="750" t="s">
        <v>169</v>
      </c>
      <c r="S57" s="751"/>
      <c r="T57" s="752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35" t="s">
        <v>132</v>
      </c>
      <c r="C58" s="136"/>
      <c r="D58" s="137"/>
      <c r="E58" s="15"/>
      <c r="F58" s="250">
        <f>+ROUND(+SUM(F53:F57),0)</f>
        <v>7428153</v>
      </c>
      <c r="G58" s="249">
        <f>+ROUND(+SUM(G53:G57),0)</f>
        <v>6441995</v>
      </c>
      <c r="H58" s="15"/>
      <c r="I58" s="250">
        <f>+ROUND(+SUM(I53:I57),0)</f>
        <v>814413</v>
      </c>
      <c r="J58" s="249">
        <f>+ROUND(+SUM(J53:J57),0)</f>
        <v>1018754</v>
      </c>
      <c r="K58" s="215"/>
      <c r="L58" s="250">
        <f>+ROUND(+SUM(L53:L57),0)</f>
        <v>0</v>
      </c>
      <c r="M58" s="249">
        <f>+ROUND(+SUM(M53:M57),0)</f>
        <v>0</v>
      </c>
      <c r="N58" s="215"/>
      <c r="O58" s="369">
        <f>+ROUND(+SUM(O53:O57),0)</f>
        <v>8242566</v>
      </c>
      <c r="P58" s="370">
        <f>+ROUND(+SUM(P53:P57),0)</f>
        <v>7460749</v>
      </c>
      <c r="Q58" s="31"/>
      <c r="R58" s="753" t="s">
        <v>189</v>
      </c>
      <c r="S58" s="754"/>
      <c r="T58" s="755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84" t="s">
        <v>77</v>
      </c>
      <c r="C59" s="109"/>
      <c r="D59" s="113"/>
      <c r="E59" s="15"/>
      <c r="F59" s="226"/>
      <c r="G59" s="216"/>
      <c r="H59" s="15"/>
      <c r="I59" s="226"/>
      <c r="J59" s="216"/>
      <c r="K59" s="215"/>
      <c r="L59" s="226"/>
      <c r="M59" s="216"/>
      <c r="N59" s="215"/>
      <c r="O59" s="354"/>
      <c r="P59" s="347"/>
      <c r="Q59" s="31"/>
      <c r="R59" s="184" t="s">
        <v>77</v>
      </c>
      <c r="S59" s="109"/>
      <c r="T59" s="113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85" t="s">
        <v>124</v>
      </c>
      <c r="C60" s="144"/>
      <c r="D60" s="145"/>
      <c r="E60" s="15"/>
      <c r="F60" s="248"/>
      <c r="G60" s="646">
        <v>8201</v>
      </c>
      <c r="H60" s="15"/>
      <c r="I60" s="248"/>
      <c r="J60" s="247"/>
      <c r="K60" s="215"/>
      <c r="L60" s="248"/>
      <c r="M60" s="247"/>
      <c r="N60" s="215"/>
      <c r="O60" s="354">
        <f aca="true" t="shared" si="5" ref="O60:P64">+ROUND(+F60+I60+L60,0)</f>
        <v>0</v>
      </c>
      <c r="P60" s="347">
        <f t="shared" si="5"/>
        <v>8201</v>
      </c>
      <c r="Q60" s="31"/>
      <c r="R60" s="733" t="s">
        <v>170</v>
      </c>
      <c r="S60" s="734"/>
      <c r="T60" s="735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0" t="s">
        <v>125</v>
      </c>
      <c r="C61" s="140"/>
      <c r="D61" s="141"/>
      <c r="E61" s="15"/>
      <c r="F61" s="222">
        <v>607831</v>
      </c>
      <c r="G61" s="641">
        <v>358030</v>
      </c>
      <c r="H61" s="15"/>
      <c r="I61" s="222">
        <f>847077+1374131</f>
        <v>2221208</v>
      </c>
      <c r="J61" s="641">
        <v>3354372</v>
      </c>
      <c r="K61" s="215"/>
      <c r="L61" s="222"/>
      <c r="M61" s="221"/>
      <c r="N61" s="215"/>
      <c r="O61" s="349">
        <f t="shared" si="5"/>
        <v>2829039</v>
      </c>
      <c r="P61" s="372">
        <f t="shared" si="5"/>
        <v>3712402</v>
      </c>
      <c r="Q61" s="31"/>
      <c r="R61" s="744" t="s">
        <v>171</v>
      </c>
      <c r="S61" s="745"/>
      <c r="T61" s="746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0" t="s">
        <v>126</v>
      </c>
      <c r="C62" s="140"/>
      <c r="D62" s="141"/>
      <c r="E62" s="15"/>
      <c r="F62" s="222"/>
      <c r="G62" s="221"/>
      <c r="H62" s="15"/>
      <c r="I62" s="222"/>
      <c r="J62" s="221"/>
      <c r="K62" s="215"/>
      <c r="L62" s="222"/>
      <c r="M62" s="221"/>
      <c r="N62" s="215"/>
      <c r="O62" s="349">
        <f t="shared" si="5"/>
        <v>0</v>
      </c>
      <c r="P62" s="372">
        <f t="shared" si="5"/>
        <v>0</v>
      </c>
      <c r="Q62" s="31"/>
      <c r="R62" s="744" t="s">
        <v>172</v>
      </c>
      <c r="S62" s="745"/>
      <c r="T62" s="74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1" t="s">
        <v>252</v>
      </c>
      <c r="C63" s="142"/>
      <c r="D63" s="143"/>
      <c r="E63" s="15"/>
      <c r="F63" s="252"/>
      <c r="G63" s="251"/>
      <c r="H63" s="15"/>
      <c r="I63" s="252"/>
      <c r="J63" s="251"/>
      <c r="K63" s="215"/>
      <c r="L63" s="252"/>
      <c r="M63" s="251"/>
      <c r="N63" s="215"/>
      <c r="O63" s="371">
        <f t="shared" si="5"/>
        <v>0</v>
      </c>
      <c r="P63" s="404">
        <f t="shared" si="5"/>
        <v>0</v>
      </c>
      <c r="Q63" s="31"/>
      <c r="R63" s="750" t="s">
        <v>190</v>
      </c>
      <c r="S63" s="751"/>
      <c r="T63" s="752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194" t="s">
        <v>111</v>
      </c>
      <c r="C64" s="160"/>
      <c r="D64" s="161"/>
      <c r="E64" s="15"/>
      <c r="F64" s="254"/>
      <c r="G64" s="253"/>
      <c r="H64" s="15"/>
      <c r="I64" s="254"/>
      <c r="J64" s="253"/>
      <c r="K64" s="215"/>
      <c r="L64" s="254"/>
      <c r="M64" s="253"/>
      <c r="N64" s="215"/>
      <c r="O64" s="407">
        <f t="shared" si="5"/>
        <v>0</v>
      </c>
      <c r="P64" s="406">
        <f t="shared" si="5"/>
        <v>0</v>
      </c>
      <c r="Q64" s="31"/>
      <c r="R64" s="310" t="s">
        <v>191</v>
      </c>
      <c r="S64" s="311"/>
      <c r="T64" s="31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35" t="s">
        <v>133</v>
      </c>
      <c r="C65" s="136"/>
      <c r="D65" s="137"/>
      <c r="E65" s="15"/>
      <c r="F65" s="250">
        <f>+ROUND(+SUM(F60:F63),0)</f>
        <v>607831</v>
      </c>
      <c r="G65" s="249">
        <f>+ROUND(+SUM(G60:G63),0)</f>
        <v>366231</v>
      </c>
      <c r="H65" s="15"/>
      <c r="I65" s="250">
        <f>+ROUND(+SUM(I60:I63),0)</f>
        <v>2221208</v>
      </c>
      <c r="J65" s="249">
        <f>+ROUND(+SUM(J60:J63),0)</f>
        <v>3354372</v>
      </c>
      <c r="K65" s="215"/>
      <c r="L65" s="250">
        <f>+ROUND(+SUM(L60:L63),0)</f>
        <v>0</v>
      </c>
      <c r="M65" s="249">
        <f>+ROUND(+SUM(M60:M63),0)</f>
        <v>0</v>
      </c>
      <c r="N65" s="215"/>
      <c r="O65" s="369">
        <f>+ROUND(+SUM(O60:O63),0)</f>
        <v>2829039</v>
      </c>
      <c r="P65" s="370">
        <f>+ROUND(+SUM(P60:P63),0)</f>
        <v>3720603</v>
      </c>
      <c r="Q65" s="31"/>
      <c r="R65" s="753" t="s">
        <v>192</v>
      </c>
      <c r="S65" s="754"/>
      <c r="T65" s="755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84" t="s">
        <v>65</v>
      </c>
      <c r="C66" s="109"/>
      <c r="D66" s="113"/>
      <c r="E66" s="15"/>
      <c r="F66" s="256"/>
      <c r="G66" s="255"/>
      <c r="H66" s="15"/>
      <c r="I66" s="256"/>
      <c r="J66" s="255"/>
      <c r="K66" s="215"/>
      <c r="L66" s="256"/>
      <c r="M66" s="255"/>
      <c r="N66" s="215"/>
      <c r="O66" s="349"/>
      <c r="P66" s="372"/>
      <c r="Q66" s="31"/>
      <c r="R66" s="184" t="s">
        <v>65</v>
      </c>
      <c r="S66" s="109"/>
      <c r="T66" s="113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85" t="s">
        <v>253</v>
      </c>
      <c r="C67" s="144"/>
      <c r="D67" s="145"/>
      <c r="E67" s="15"/>
      <c r="F67" s="248">
        <v>94356</v>
      </c>
      <c r="G67" s="646">
        <v>91228</v>
      </c>
      <c r="H67" s="15"/>
      <c r="I67" s="248"/>
      <c r="J67" s="247"/>
      <c r="K67" s="215"/>
      <c r="L67" s="248"/>
      <c r="M67" s="247"/>
      <c r="N67" s="215"/>
      <c r="O67" s="354">
        <f>+ROUND(+F67+I67+L67,0)</f>
        <v>94356</v>
      </c>
      <c r="P67" s="347">
        <f>+ROUND(+G67+J67+M67,0)</f>
        <v>91228</v>
      </c>
      <c r="Q67" s="31"/>
      <c r="R67" s="733" t="s">
        <v>173</v>
      </c>
      <c r="S67" s="734"/>
      <c r="T67" s="735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1" t="s">
        <v>146</v>
      </c>
      <c r="C68" s="142"/>
      <c r="D68" s="143"/>
      <c r="E68" s="15"/>
      <c r="F68" s="222"/>
      <c r="G68" s="221"/>
      <c r="H68" s="15"/>
      <c r="I68" s="222"/>
      <c r="J68" s="221"/>
      <c r="K68" s="215"/>
      <c r="L68" s="222"/>
      <c r="M68" s="221"/>
      <c r="N68" s="215"/>
      <c r="O68" s="349">
        <f>+ROUND(+F68+I68+L68,0)</f>
        <v>0</v>
      </c>
      <c r="P68" s="372">
        <f>+ROUND(+G68+J68+M68,0)</f>
        <v>0</v>
      </c>
      <c r="Q68" s="31"/>
      <c r="R68" s="744" t="s">
        <v>174</v>
      </c>
      <c r="S68" s="745"/>
      <c r="T68" s="746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35" t="s">
        <v>134</v>
      </c>
      <c r="C69" s="136"/>
      <c r="D69" s="137"/>
      <c r="E69" s="15"/>
      <c r="F69" s="250">
        <f>+ROUND(+SUM(F67:F68),0)</f>
        <v>94356</v>
      </c>
      <c r="G69" s="249">
        <f>+ROUND(+SUM(G67:G68),0)</f>
        <v>91228</v>
      </c>
      <c r="H69" s="15"/>
      <c r="I69" s="250">
        <f>+ROUND(+SUM(I67:I68),0)</f>
        <v>0</v>
      </c>
      <c r="J69" s="249">
        <f>+ROUND(+SUM(J67:J68),0)</f>
        <v>0</v>
      </c>
      <c r="K69" s="215"/>
      <c r="L69" s="250">
        <f>+ROUND(+SUM(L67:L68),0)</f>
        <v>0</v>
      </c>
      <c r="M69" s="249">
        <f>+ROUND(+SUM(M67:M68),0)</f>
        <v>0</v>
      </c>
      <c r="N69" s="215"/>
      <c r="O69" s="369">
        <f>+ROUND(+SUM(O67:O68),0)</f>
        <v>94356</v>
      </c>
      <c r="P69" s="370">
        <f>+ROUND(+SUM(P67:P68),0)</f>
        <v>91228</v>
      </c>
      <c r="Q69" s="31"/>
      <c r="R69" s="753" t="s">
        <v>193</v>
      </c>
      <c r="S69" s="754"/>
      <c r="T69" s="755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84" t="s">
        <v>59</v>
      </c>
      <c r="C70" s="109"/>
      <c r="D70" s="113"/>
      <c r="E70" s="15"/>
      <c r="F70" s="256"/>
      <c r="G70" s="255"/>
      <c r="H70" s="15"/>
      <c r="I70" s="256"/>
      <c r="J70" s="255"/>
      <c r="K70" s="215"/>
      <c r="L70" s="256"/>
      <c r="M70" s="255"/>
      <c r="N70" s="215"/>
      <c r="O70" s="349"/>
      <c r="P70" s="372"/>
      <c r="Q70" s="31"/>
      <c r="R70" s="184" t="s">
        <v>59</v>
      </c>
      <c r="S70" s="109"/>
      <c r="T70" s="113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85" t="s">
        <v>60</v>
      </c>
      <c r="C71" s="144"/>
      <c r="D71" s="145"/>
      <c r="E71" s="15"/>
      <c r="F71" s="248">
        <v>53326</v>
      </c>
      <c r="G71" s="646">
        <v>55764</v>
      </c>
      <c r="H71" s="15"/>
      <c r="I71" s="248">
        <v>75878</v>
      </c>
      <c r="J71" s="646">
        <v>72170</v>
      </c>
      <c r="K71" s="215"/>
      <c r="L71" s="248"/>
      <c r="M71" s="247"/>
      <c r="N71" s="215"/>
      <c r="O71" s="354">
        <f>+ROUND(+F71+I71+L71,0)</f>
        <v>129204</v>
      </c>
      <c r="P71" s="347">
        <f>+ROUND(+G71+J71+M71,0)</f>
        <v>127934</v>
      </c>
      <c r="Q71" s="31"/>
      <c r="R71" s="733" t="s">
        <v>175</v>
      </c>
      <c r="S71" s="734"/>
      <c r="T71" s="735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1" t="s">
        <v>61</v>
      </c>
      <c r="C72" s="142"/>
      <c r="D72" s="143"/>
      <c r="E72" s="15"/>
      <c r="F72" s="222"/>
      <c r="G72" s="221"/>
      <c r="H72" s="15"/>
      <c r="I72" s="222"/>
      <c r="J72" s="221"/>
      <c r="K72" s="215"/>
      <c r="L72" s="222"/>
      <c r="M72" s="221"/>
      <c r="N72" s="215"/>
      <c r="O72" s="349">
        <f>+ROUND(+F72+I72+L72,0)</f>
        <v>0</v>
      </c>
      <c r="P72" s="372">
        <f>+ROUND(+G72+J72+M72,0)</f>
        <v>0</v>
      </c>
      <c r="Q72" s="31"/>
      <c r="R72" s="744" t="s">
        <v>176</v>
      </c>
      <c r="S72" s="745"/>
      <c r="T72" s="746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35" t="s">
        <v>135</v>
      </c>
      <c r="C73" s="136"/>
      <c r="D73" s="137"/>
      <c r="E73" s="15"/>
      <c r="F73" s="250">
        <f>+ROUND(+SUM(F71:F72),0)</f>
        <v>53326</v>
      </c>
      <c r="G73" s="249">
        <f>+ROUND(+SUM(G71:G72),0)</f>
        <v>55764</v>
      </c>
      <c r="H73" s="15"/>
      <c r="I73" s="250">
        <f>+ROUND(+SUM(I71:I72),0)</f>
        <v>75878</v>
      </c>
      <c r="J73" s="249">
        <f>+ROUND(+SUM(J71:J72),0)</f>
        <v>72170</v>
      </c>
      <c r="K73" s="215"/>
      <c r="L73" s="250">
        <f>+ROUND(+SUM(L71:L72),0)</f>
        <v>0</v>
      </c>
      <c r="M73" s="249">
        <f>+ROUND(+SUM(M71:M72),0)</f>
        <v>0</v>
      </c>
      <c r="N73" s="215"/>
      <c r="O73" s="369">
        <f>+ROUND(+SUM(O71:O72),0)</f>
        <v>129204</v>
      </c>
      <c r="P73" s="370">
        <f>+ROUND(+SUM(P71:P72),0)</f>
        <v>127934</v>
      </c>
      <c r="Q73" s="31"/>
      <c r="R73" s="753" t="s">
        <v>194</v>
      </c>
      <c r="S73" s="754"/>
      <c r="T73" s="755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84" t="s">
        <v>62</v>
      </c>
      <c r="C74" s="109"/>
      <c r="D74" s="113"/>
      <c r="E74" s="15"/>
      <c r="F74" s="256"/>
      <c r="G74" s="255"/>
      <c r="H74" s="15"/>
      <c r="I74" s="256"/>
      <c r="J74" s="255"/>
      <c r="K74" s="215"/>
      <c r="L74" s="256"/>
      <c r="M74" s="255"/>
      <c r="N74" s="215"/>
      <c r="O74" s="349"/>
      <c r="P74" s="372"/>
      <c r="Q74" s="31"/>
      <c r="R74" s="184" t="s">
        <v>62</v>
      </c>
      <c r="S74" s="109"/>
      <c r="T74" s="113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85" t="s">
        <v>63</v>
      </c>
      <c r="C75" s="144"/>
      <c r="D75" s="145"/>
      <c r="E75" s="15"/>
      <c r="F75" s="248">
        <v>519033</v>
      </c>
      <c r="G75" s="646">
        <v>474667</v>
      </c>
      <c r="H75" s="15"/>
      <c r="I75" s="248"/>
      <c r="J75" s="247"/>
      <c r="K75" s="215"/>
      <c r="L75" s="248"/>
      <c r="M75" s="247"/>
      <c r="N75" s="215"/>
      <c r="O75" s="354">
        <f>+ROUND(+F75+I75+L75,0)</f>
        <v>519033</v>
      </c>
      <c r="P75" s="347">
        <f>+ROUND(+G75+J75+M75,0)</f>
        <v>474667</v>
      </c>
      <c r="Q75" s="31"/>
      <c r="R75" s="733" t="s">
        <v>177</v>
      </c>
      <c r="S75" s="734"/>
      <c r="T75" s="735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1" t="s">
        <v>64</v>
      </c>
      <c r="C76" s="142"/>
      <c r="D76" s="143"/>
      <c r="E76" s="15"/>
      <c r="F76" s="222"/>
      <c r="G76" s="641">
        <v>29976</v>
      </c>
      <c r="H76" s="15"/>
      <c r="I76" s="222"/>
      <c r="J76" s="221"/>
      <c r="K76" s="215"/>
      <c r="L76" s="222"/>
      <c r="M76" s="221"/>
      <c r="N76" s="215"/>
      <c r="O76" s="349">
        <f>+ROUND(+F76+I76+L76,0)</f>
        <v>0</v>
      </c>
      <c r="P76" s="372">
        <f>+ROUND(+G76+J76+M76,0)</f>
        <v>29976</v>
      </c>
      <c r="Q76" s="31"/>
      <c r="R76" s="744" t="s">
        <v>195</v>
      </c>
      <c r="S76" s="745"/>
      <c r="T76" s="746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35" t="s">
        <v>136</v>
      </c>
      <c r="C77" s="136"/>
      <c r="D77" s="137"/>
      <c r="E77" s="15"/>
      <c r="F77" s="250">
        <f>+ROUND(+SUM(F75:F76),0)</f>
        <v>519033</v>
      </c>
      <c r="G77" s="249">
        <f>+ROUND(+SUM(G75:G76),0)</f>
        <v>504643</v>
      </c>
      <c r="H77" s="15"/>
      <c r="I77" s="250">
        <f>+ROUND(+SUM(I75:I76),0)</f>
        <v>0</v>
      </c>
      <c r="J77" s="249">
        <f>+ROUND(+SUM(J75:J76),0)</f>
        <v>0</v>
      </c>
      <c r="K77" s="215"/>
      <c r="L77" s="250">
        <f>+ROUND(+SUM(L75:L76),0)</f>
        <v>0</v>
      </c>
      <c r="M77" s="249">
        <f>+ROUND(+SUM(M75:M76),0)</f>
        <v>0</v>
      </c>
      <c r="N77" s="215"/>
      <c r="O77" s="369">
        <f>+ROUND(+SUM(O75:O76),0)</f>
        <v>519033</v>
      </c>
      <c r="P77" s="370">
        <f>+ROUND(+SUM(P75:P76),0)</f>
        <v>504643</v>
      </c>
      <c r="Q77" s="31"/>
      <c r="R77" s="753" t="s">
        <v>196</v>
      </c>
      <c r="S77" s="754"/>
      <c r="T77" s="755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57"/>
      <c r="C78" s="158"/>
      <c r="D78" s="159"/>
      <c r="E78" s="15"/>
      <c r="F78" s="256"/>
      <c r="G78" s="255"/>
      <c r="H78" s="15"/>
      <c r="I78" s="256"/>
      <c r="J78" s="255"/>
      <c r="K78" s="215"/>
      <c r="L78" s="256"/>
      <c r="M78" s="255"/>
      <c r="N78" s="215"/>
      <c r="O78" s="349"/>
      <c r="P78" s="372"/>
      <c r="Q78" s="31"/>
      <c r="R78" s="313"/>
      <c r="S78" s="314"/>
      <c r="T78" s="31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43" t="s">
        <v>258</v>
      </c>
      <c r="C79" s="171"/>
      <c r="D79" s="172"/>
      <c r="E79" s="15"/>
      <c r="F79" s="257">
        <f>+ROUND(F58+F65+F69+F73+F77,0)</f>
        <v>8702699</v>
      </c>
      <c r="G79" s="260">
        <f>+ROUND(G58+G65+G69+G73+G77,0)</f>
        <v>7459861</v>
      </c>
      <c r="H79" s="15"/>
      <c r="I79" s="257">
        <f>+ROUND(I58+I65+I69+I73+I77,0)</f>
        <v>3111499</v>
      </c>
      <c r="J79" s="260">
        <f>+ROUND(J58+J65+J69+J73+J77,0)</f>
        <v>4445296</v>
      </c>
      <c r="K79" s="215"/>
      <c r="L79" s="257">
        <f>+ROUND(L58+L65+L69+L73+L77,0)</f>
        <v>0</v>
      </c>
      <c r="M79" s="260">
        <f>+ROUND(M58+M65+M69+M73+M77,0)</f>
        <v>0</v>
      </c>
      <c r="N79" s="215"/>
      <c r="O79" s="373">
        <f>+ROUND(O58+O65+O69+O73+O77,0)</f>
        <v>11814198</v>
      </c>
      <c r="P79" s="380">
        <f>+ROUND(P58+P65+P69+P73+P77,0)</f>
        <v>11905157</v>
      </c>
      <c r="Q79" s="31"/>
      <c r="R79" s="768" t="s">
        <v>197</v>
      </c>
      <c r="S79" s="769"/>
      <c r="T79" s="77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82" t="s">
        <v>257</v>
      </c>
      <c r="C80" s="108"/>
      <c r="D80" s="112"/>
      <c r="E80" s="15"/>
      <c r="F80" s="226"/>
      <c r="G80" s="216"/>
      <c r="H80" s="15"/>
      <c r="I80" s="226"/>
      <c r="J80" s="216"/>
      <c r="K80" s="215"/>
      <c r="L80" s="226"/>
      <c r="M80" s="216"/>
      <c r="N80" s="215"/>
      <c r="O80" s="354"/>
      <c r="P80" s="347"/>
      <c r="Q80" s="31"/>
      <c r="R80" s="182" t="s">
        <v>82</v>
      </c>
      <c r="S80" s="124"/>
      <c r="T80" s="125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85" t="s">
        <v>81</v>
      </c>
      <c r="C81" s="144"/>
      <c r="D81" s="145"/>
      <c r="E81" s="15"/>
      <c r="F81" s="218">
        <v>9930603</v>
      </c>
      <c r="G81" s="640">
        <v>5873320</v>
      </c>
      <c r="H81" s="15"/>
      <c r="I81" s="218">
        <f>1389611+795180</f>
        <v>2184791</v>
      </c>
      <c r="J81" s="640">
        <v>2627284</v>
      </c>
      <c r="K81" s="215"/>
      <c r="L81" s="218"/>
      <c r="M81" s="217"/>
      <c r="N81" s="215"/>
      <c r="O81" s="353">
        <f>+ROUND(+F81+I81+L81,0)</f>
        <v>12115394</v>
      </c>
      <c r="P81" s="366">
        <f>+ROUND(+G81+J81+M81,0)</f>
        <v>8500604</v>
      </c>
      <c r="Q81" s="31"/>
      <c r="R81" s="733" t="s">
        <v>178</v>
      </c>
      <c r="S81" s="734"/>
      <c r="T81" s="735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1" t="s">
        <v>78</v>
      </c>
      <c r="C82" s="142"/>
      <c r="D82" s="143"/>
      <c r="E82" s="15"/>
      <c r="F82" s="222">
        <v>-5925</v>
      </c>
      <c r="G82" s="641">
        <v>1961000</v>
      </c>
      <c r="H82" s="15"/>
      <c r="I82" s="222">
        <f>5925</f>
        <v>5925</v>
      </c>
      <c r="J82" s="641">
        <v>-1961000</v>
      </c>
      <c r="K82" s="215"/>
      <c r="L82" s="222"/>
      <c r="M82" s="221"/>
      <c r="N82" s="215"/>
      <c r="O82" s="349">
        <f>+ROUND(+F82+I82+L82,0)</f>
        <v>0</v>
      </c>
      <c r="P82" s="372">
        <f>+ROUND(+G82+J82+M82,0)</f>
        <v>0</v>
      </c>
      <c r="Q82" s="31"/>
      <c r="R82" s="744" t="s">
        <v>179</v>
      </c>
      <c r="S82" s="745"/>
      <c r="T82" s="746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196" t="s">
        <v>259</v>
      </c>
      <c r="C83" s="130"/>
      <c r="D83" s="131"/>
      <c r="E83" s="15"/>
      <c r="F83" s="259">
        <f>+ROUND(F81+F82,0)</f>
        <v>9924678</v>
      </c>
      <c r="G83" s="258">
        <f>+ROUND(G81+G82,0)</f>
        <v>7834320</v>
      </c>
      <c r="H83" s="15"/>
      <c r="I83" s="259">
        <f>+ROUND(I81+I82,0)</f>
        <v>2190716</v>
      </c>
      <c r="J83" s="258">
        <f>+ROUND(J81+J82,0)</f>
        <v>666284</v>
      </c>
      <c r="K83" s="215"/>
      <c r="L83" s="259">
        <f>+ROUND(L81+L82,0)</f>
        <v>0</v>
      </c>
      <c r="M83" s="258">
        <f>+ROUND(M81+M82,0)</f>
        <v>0</v>
      </c>
      <c r="N83" s="215"/>
      <c r="O83" s="374">
        <f>+ROUND(O81+O82,0)</f>
        <v>12115394</v>
      </c>
      <c r="P83" s="375">
        <f>+ROUND(P81+P82,0)</f>
        <v>8500604</v>
      </c>
      <c r="Q83" s="31"/>
      <c r="R83" s="771" t="s">
        <v>198</v>
      </c>
      <c r="S83" s="772"/>
      <c r="T83" s="773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2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24"/>
      <c r="D84" s="725"/>
      <c r="E84" s="15"/>
      <c r="F84" s="455">
        <f>+ROUND(F85,0)+ROUND(F86,0)</f>
        <v>0</v>
      </c>
      <c r="G84" s="456">
        <f>+ROUND(G85,0)+ROUND(G86,0)</f>
        <v>0</v>
      </c>
      <c r="H84" s="117"/>
      <c r="I84" s="455">
        <f>+ROUND(I85,0)+ROUND(I86,0)</f>
        <v>0</v>
      </c>
      <c r="J84" s="456">
        <f>+ROUND(J85,0)+ROUND(J86,0)</f>
        <v>0</v>
      </c>
      <c r="K84" s="461"/>
      <c r="L84" s="455">
        <f>+ROUND(L85,0)+ROUND(L86,0)</f>
        <v>0</v>
      </c>
      <c r="M84" s="456">
        <f>+ROUND(M85,0)+ROUND(M86,0)</f>
        <v>0</v>
      </c>
      <c r="N84" s="461"/>
      <c r="O84" s="464">
        <f>+ROUND(O85,0)+ROUND(O86,0)</f>
        <v>0</v>
      </c>
      <c r="P84" s="465">
        <f>+ROUND(P85,0)+ROUND(P86,0)</f>
        <v>0</v>
      </c>
      <c r="Q84" s="31"/>
      <c r="R84" s="316"/>
      <c r="S84" s="317"/>
      <c r="T84" s="31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1" t="s">
        <v>260</v>
      </c>
      <c r="C85" s="126"/>
      <c r="D85" s="127"/>
      <c r="E85" s="15"/>
      <c r="F85" s="280">
        <f>+ROUND(F50,0)-ROUND(F79,0)+ROUND(F83,0)</f>
        <v>3193315</v>
      </c>
      <c r="G85" s="279">
        <f>+ROUND(G50,0)-ROUND(G79,0)+ROUND(G83,0)</f>
        <v>2150093</v>
      </c>
      <c r="H85" s="15"/>
      <c r="I85" s="280">
        <f>+ROUND(I50,0)-ROUND(I79,0)+ROUND(I83,0)</f>
        <v>920155</v>
      </c>
      <c r="J85" s="279">
        <f>+ROUND(J50,0)-ROUND(J79,0)+ROUND(J83,0)</f>
        <v>-1610549</v>
      </c>
      <c r="K85" s="215"/>
      <c r="L85" s="280">
        <f>+ROUND(L50,0)-ROUND(L79,0)+ROUND(L83,0)</f>
        <v>0</v>
      </c>
      <c r="M85" s="279">
        <f>+ROUND(M50,0)-ROUND(M79,0)+ROUND(M83,0)</f>
        <v>0</v>
      </c>
      <c r="N85" s="215"/>
      <c r="O85" s="376">
        <f>+ROUND(O50,0)-ROUND(O79,0)+ROUND(O83,0)</f>
        <v>4113470</v>
      </c>
      <c r="P85" s="377">
        <f>+ROUND(P50,0)-ROUND(P79,0)+ROUND(P83,0)</f>
        <v>539544</v>
      </c>
      <c r="Q85" s="32"/>
      <c r="R85" s="319" t="s">
        <v>115</v>
      </c>
      <c r="S85" s="320"/>
      <c r="T85" s="32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02" t="s">
        <v>112</v>
      </c>
      <c r="C86" s="128"/>
      <c r="D86" s="129"/>
      <c r="E86" s="15"/>
      <c r="F86" s="282">
        <f>+ROUND(F103,0)+ROUND(F122,0)+ROUND(F129,0)-ROUND(F134,0)</f>
        <v>-3193315</v>
      </c>
      <c r="G86" s="281">
        <f>+ROUND(G103,0)+ROUND(G122,0)+ROUND(G129,0)-ROUND(G134,0)</f>
        <v>-2150093</v>
      </c>
      <c r="H86" s="15"/>
      <c r="I86" s="282">
        <f>+ROUND(I103,0)+ROUND(I122,0)+ROUND(I129,0)-ROUND(I134,0)</f>
        <v>-920155</v>
      </c>
      <c r="J86" s="281">
        <f>+ROUND(J103,0)+ROUND(J122,0)+ROUND(J129,0)-ROUND(J134,0)</f>
        <v>1610549</v>
      </c>
      <c r="K86" s="215"/>
      <c r="L86" s="282">
        <f>+ROUND(L103,0)+ROUND(L122,0)+ROUND(L129,0)-ROUND(L134,0)</f>
        <v>0</v>
      </c>
      <c r="M86" s="281">
        <f>+ROUND(M103,0)+ROUND(M122,0)+ROUND(M129,0)-ROUND(M134,0)</f>
        <v>0</v>
      </c>
      <c r="N86" s="215"/>
      <c r="O86" s="378">
        <f>+ROUND(O103,0)+ROUND(O122,0)+ROUND(O129,0)-ROUND(O134,0)</f>
        <v>-4113470</v>
      </c>
      <c r="P86" s="379">
        <f>+ROUND(P103,0)+ROUND(P122,0)+ROUND(P129,0)-ROUND(P134,0)</f>
        <v>-539544</v>
      </c>
      <c r="Q86" s="32"/>
      <c r="R86" s="322" t="s">
        <v>112</v>
      </c>
      <c r="S86" s="323"/>
      <c r="T86" s="32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82" t="s">
        <v>101</v>
      </c>
      <c r="C87" s="124"/>
      <c r="D87" s="125"/>
      <c r="E87" s="15"/>
      <c r="F87" s="225"/>
      <c r="G87" s="214"/>
      <c r="H87" s="15"/>
      <c r="I87" s="225"/>
      <c r="J87" s="214"/>
      <c r="K87" s="215"/>
      <c r="L87" s="225"/>
      <c r="M87" s="214"/>
      <c r="N87" s="215"/>
      <c r="O87" s="352"/>
      <c r="P87" s="345"/>
      <c r="Q87" s="31"/>
      <c r="R87" s="182" t="s">
        <v>101</v>
      </c>
      <c r="S87" s="124"/>
      <c r="T87" s="125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83" t="s">
        <v>107</v>
      </c>
      <c r="C88" s="138"/>
      <c r="D88" s="139"/>
      <c r="E88" s="15"/>
      <c r="F88" s="244"/>
      <c r="G88" s="243"/>
      <c r="H88" s="15"/>
      <c r="I88" s="244"/>
      <c r="J88" s="243"/>
      <c r="K88" s="215"/>
      <c r="L88" s="244"/>
      <c r="M88" s="243"/>
      <c r="N88" s="215"/>
      <c r="O88" s="353"/>
      <c r="P88" s="366"/>
      <c r="Q88" s="31"/>
      <c r="R88" s="183" t="s">
        <v>107</v>
      </c>
      <c r="S88" s="138"/>
      <c r="T88" s="139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0" t="s">
        <v>108</v>
      </c>
      <c r="C89" s="140"/>
      <c r="D89" s="141"/>
      <c r="E89" s="15"/>
      <c r="F89" s="220">
        <v>-458</v>
      </c>
      <c r="G89" s="219"/>
      <c r="H89" s="15"/>
      <c r="I89" s="220"/>
      <c r="J89" s="219"/>
      <c r="K89" s="215"/>
      <c r="L89" s="220"/>
      <c r="M89" s="219"/>
      <c r="N89" s="215"/>
      <c r="O89" s="348">
        <f>+ROUND(+F89+I89+L89,0)</f>
        <v>-458</v>
      </c>
      <c r="P89" s="400">
        <f>+ROUND(+G89+J89+M89,0)</f>
        <v>0</v>
      </c>
      <c r="Q89" s="31"/>
      <c r="R89" s="733" t="s">
        <v>199</v>
      </c>
      <c r="S89" s="734"/>
      <c r="T89" s="735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1" t="s">
        <v>254</v>
      </c>
      <c r="C90" s="142"/>
      <c r="D90" s="143"/>
      <c r="E90" s="15"/>
      <c r="F90" s="222"/>
      <c r="G90" s="221"/>
      <c r="H90" s="15"/>
      <c r="I90" s="222"/>
      <c r="J90" s="221"/>
      <c r="K90" s="215"/>
      <c r="L90" s="222"/>
      <c r="M90" s="221"/>
      <c r="N90" s="215"/>
      <c r="O90" s="349">
        <f>+ROUND(+F90+I90+L90,0)</f>
        <v>0</v>
      </c>
      <c r="P90" s="372">
        <f>+ROUND(+G90+J90+M90,0)</f>
        <v>0</v>
      </c>
      <c r="Q90" s="31"/>
      <c r="R90" s="744" t="s">
        <v>200</v>
      </c>
      <c r="S90" s="745"/>
      <c r="T90" s="746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44" t="s">
        <v>261</v>
      </c>
      <c r="C91" s="133"/>
      <c r="D91" s="134"/>
      <c r="E91" s="15"/>
      <c r="F91" s="224">
        <f>+ROUND(+SUM(F89:F90),0)</f>
        <v>-458</v>
      </c>
      <c r="G91" s="223">
        <f>+ROUND(+SUM(G89:G90),0)</f>
        <v>0</v>
      </c>
      <c r="H91" s="15"/>
      <c r="I91" s="224">
        <f>+ROUND(+SUM(I89:I90),0)</f>
        <v>0</v>
      </c>
      <c r="J91" s="223">
        <f>+ROUND(+SUM(J89:J90),0)</f>
        <v>0</v>
      </c>
      <c r="K91" s="215"/>
      <c r="L91" s="224">
        <f>+ROUND(+SUM(L89:L90),0)</f>
        <v>0</v>
      </c>
      <c r="M91" s="223">
        <f>+ROUND(+SUM(M89:M90),0)</f>
        <v>0</v>
      </c>
      <c r="N91" s="215"/>
      <c r="O91" s="350">
        <f>+ROUND(+SUM(O89:O90),0)</f>
        <v>-458</v>
      </c>
      <c r="P91" s="351">
        <f>+ROUND(+SUM(P89:P90),0)</f>
        <v>0</v>
      </c>
      <c r="Q91" s="31"/>
      <c r="R91" s="753" t="s">
        <v>201</v>
      </c>
      <c r="S91" s="754"/>
      <c r="T91" s="755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82" t="s">
        <v>92</v>
      </c>
      <c r="C92" s="109"/>
      <c r="D92" s="113"/>
      <c r="E92" s="15"/>
      <c r="F92" s="225"/>
      <c r="G92" s="214"/>
      <c r="H92" s="15"/>
      <c r="I92" s="225"/>
      <c r="J92" s="214"/>
      <c r="K92" s="215"/>
      <c r="L92" s="225"/>
      <c r="M92" s="214"/>
      <c r="N92" s="215"/>
      <c r="O92" s="352"/>
      <c r="P92" s="345"/>
      <c r="Q92" s="31"/>
      <c r="R92" s="184" t="s">
        <v>92</v>
      </c>
      <c r="S92" s="109"/>
      <c r="T92" s="113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85" t="s">
        <v>95</v>
      </c>
      <c r="C93" s="144"/>
      <c r="D93" s="145"/>
      <c r="E93" s="15"/>
      <c r="F93" s="218"/>
      <c r="G93" s="217"/>
      <c r="H93" s="15"/>
      <c r="I93" s="218"/>
      <c r="J93" s="217"/>
      <c r="K93" s="215"/>
      <c r="L93" s="218"/>
      <c r="M93" s="217"/>
      <c r="N93" s="215"/>
      <c r="O93" s="353">
        <f aca="true" t="shared" si="6" ref="O93:P96">+ROUND(+F93+I93+L93,0)</f>
        <v>0</v>
      </c>
      <c r="P93" s="366">
        <f t="shared" si="6"/>
        <v>0</v>
      </c>
      <c r="Q93" s="31"/>
      <c r="R93" s="733" t="s">
        <v>202</v>
      </c>
      <c r="S93" s="734"/>
      <c r="T93" s="735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42" t="s">
        <v>109</v>
      </c>
      <c r="C94" s="140"/>
      <c r="D94" s="141"/>
      <c r="E94" s="15"/>
      <c r="F94" s="222"/>
      <c r="G94" s="221"/>
      <c r="H94" s="15"/>
      <c r="I94" s="222"/>
      <c r="J94" s="221"/>
      <c r="K94" s="215"/>
      <c r="L94" s="222"/>
      <c r="M94" s="221"/>
      <c r="N94" s="215"/>
      <c r="O94" s="349">
        <f t="shared" si="6"/>
        <v>0</v>
      </c>
      <c r="P94" s="372">
        <f t="shared" si="6"/>
        <v>0</v>
      </c>
      <c r="Q94" s="31"/>
      <c r="R94" s="744" t="s">
        <v>203</v>
      </c>
      <c r="S94" s="745"/>
      <c r="T94" s="746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0" t="s">
        <v>278</v>
      </c>
      <c r="C95" s="140"/>
      <c r="D95" s="141"/>
      <c r="E95" s="15"/>
      <c r="F95" s="220"/>
      <c r="G95" s="219"/>
      <c r="H95" s="15"/>
      <c r="I95" s="220"/>
      <c r="J95" s="219"/>
      <c r="K95" s="215"/>
      <c r="L95" s="220"/>
      <c r="M95" s="219"/>
      <c r="N95" s="215"/>
      <c r="O95" s="348">
        <f t="shared" si="6"/>
        <v>0</v>
      </c>
      <c r="P95" s="400">
        <f t="shared" si="6"/>
        <v>0</v>
      </c>
      <c r="Q95" s="31"/>
      <c r="R95" s="744" t="s">
        <v>204</v>
      </c>
      <c r="S95" s="745"/>
      <c r="T95" s="74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197" t="s">
        <v>129</v>
      </c>
      <c r="C96" s="173"/>
      <c r="D96" s="174"/>
      <c r="E96" s="15"/>
      <c r="F96" s="248"/>
      <c r="G96" s="247"/>
      <c r="H96" s="15"/>
      <c r="I96" s="248"/>
      <c r="J96" s="247"/>
      <c r="K96" s="215"/>
      <c r="L96" s="248"/>
      <c r="M96" s="247"/>
      <c r="N96" s="215"/>
      <c r="O96" s="354">
        <f t="shared" si="6"/>
        <v>0</v>
      </c>
      <c r="P96" s="347">
        <f t="shared" si="6"/>
        <v>0</v>
      </c>
      <c r="Q96" s="31"/>
      <c r="R96" s="750" t="s">
        <v>205</v>
      </c>
      <c r="S96" s="751"/>
      <c r="T96" s="752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44" t="s">
        <v>262</v>
      </c>
      <c r="C97" s="133"/>
      <c r="D97" s="134"/>
      <c r="E97" s="15"/>
      <c r="F97" s="224">
        <f>+ROUND(+SUM(F93:F96),0)</f>
        <v>0</v>
      </c>
      <c r="G97" s="223">
        <f>+ROUND(+SUM(G93:G96),0)</f>
        <v>0</v>
      </c>
      <c r="H97" s="15"/>
      <c r="I97" s="224">
        <f>+ROUND(+SUM(I93:I96),0)</f>
        <v>0</v>
      </c>
      <c r="J97" s="223">
        <f>+ROUND(+SUM(J93:J96),0)</f>
        <v>0</v>
      </c>
      <c r="K97" s="215"/>
      <c r="L97" s="224">
        <f>+ROUND(+SUM(L93:L96),0)</f>
        <v>0</v>
      </c>
      <c r="M97" s="223">
        <f>+ROUND(+SUM(M93:M96),0)</f>
        <v>0</v>
      </c>
      <c r="N97" s="215"/>
      <c r="O97" s="350">
        <f>+ROUND(+SUM(O93:O96),0)</f>
        <v>0</v>
      </c>
      <c r="P97" s="351">
        <f>+ROUND(+SUM(P93:P96),0)</f>
        <v>0</v>
      </c>
      <c r="Q97" s="31"/>
      <c r="R97" s="753" t="s">
        <v>206</v>
      </c>
      <c r="S97" s="754"/>
      <c r="T97" s="755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84" t="s">
        <v>93</v>
      </c>
      <c r="C98" s="109"/>
      <c r="D98" s="113"/>
      <c r="E98" s="15"/>
      <c r="F98" s="225"/>
      <c r="G98" s="214"/>
      <c r="H98" s="15"/>
      <c r="I98" s="225"/>
      <c r="J98" s="214"/>
      <c r="K98" s="215"/>
      <c r="L98" s="225"/>
      <c r="M98" s="214"/>
      <c r="N98" s="215"/>
      <c r="O98" s="352"/>
      <c r="P98" s="345"/>
      <c r="Q98" s="31"/>
      <c r="R98" s="184" t="s">
        <v>93</v>
      </c>
      <c r="S98" s="109"/>
      <c r="T98" s="113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85" t="s">
        <v>110</v>
      </c>
      <c r="C99" s="144"/>
      <c r="D99" s="145"/>
      <c r="E99" s="15"/>
      <c r="F99" s="218"/>
      <c r="G99" s="217"/>
      <c r="H99" s="15"/>
      <c r="I99" s="218"/>
      <c r="J99" s="217"/>
      <c r="K99" s="215"/>
      <c r="L99" s="218"/>
      <c r="M99" s="217"/>
      <c r="N99" s="215"/>
      <c r="O99" s="353">
        <f>+ROUND(+F99+I99+L99,0)</f>
        <v>0</v>
      </c>
      <c r="P99" s="366">
        <f>+ROUND(+G99+J99+M99,0)</f>
        <v>0</v>
      </c>
      <c r="Q99" s="31"/>
      <c r="R99" s="733" t="s">
        <v>207</v>
      </c>
      <c r="S99" s="734"/>
      <c r="T99" s="735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1" t="s">
        <v>94</v>
      </c>
      <c r="C100" s="142"/>
      <c r="D100" s="143"/>
      <c r="E100" s="15"/>
      <c r="F100" s="222">
        <v>-497959</v>
      </c>
      <c r="G100" s="641">
        <v>-161937</v>
      </c>
      <c r="H100" s="15"/>
      <c r="I100" s="222"/>
      <c r="J100" s="221"/>
      <c r="K100" s="215"/>
      <c r="L100" s="222"/>
      <c r="M100" s="221"/>
      <c r="N100" s="215"/>
      <c r="O100" s="349">
        <f>+ROUND(+F100+I100+L100,0)</f>
        <v>-497959</v>
      </c>
      <c r="P100" s="372">
        <f>+ROUND(+G100+J100+M100,0)</f>
        <v>-161937</v>
      </c>
      <c r="Q100" s="31"/>
      <c r="R100" s="744" t="s">
        <v>208</v>
      </c>
      <c r="S100" s="745"/>
      <c r="T100" s="746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32" t="s">
        <v>137</v>
      </c>
      <c r="C101" s="133"/>
      <c r="D101" s="134"/>
      <c r="E101" s="15"/>
      <c r="F101" s="224">
        <f>+ROUND(+SUM(F99:F100),0)</f>
        <v>-497959</v>
      </c>
      <c r="G101" s="223">
        <f>+ROUND(+SUM(G99:G100),0)</f>
        <v>-161937</v>
      </c>
      <c r="H101" s="15"/>
      <c r="I101" s="224">
        <f>+ROUND(+SUM(I99:I100),0)</f>
        <v>0</v>
      </c>
      <c r="J101" s="223">
        <f>+ROUND(+SUM(J99:J100),0)</f>
        <v>0</v>
      </c>
      <c r="K101" s="215"/>
      <c r="L101" s="224">
        <f>+ROUND(+SUM(L99:L100),0)</f>
        <v>0</v>
      </c>
      <c r="M101" s="223">
        <f>+ROUND(+SUM(M99:M100),0)</f>
        <v>0</v>
      </c>
      <c r="N101" s="215"/>
      <c r="O101" s="350">
        <f>+ROUND(+SUM(O99:O100),0)</f>
        <v>-497959</v>
      </c>
      <c r="P101" s="351">
        <f>+ROUND(+SUM(P99:P100),0)</f>
        <v>-161937</v>
      </c>
      <c r="Q101" s="31"/>
      <c r="R101" s="753" t="s">
        <v>209</v>
      </c>
      <c r="S101" s="754"/>
      <c r="T101" s="755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68"/>
      <c r="C102" s="147"/>
      <c r="D102" s="148"/>
      <c r="E102" s="15"/>
      <c r="F102" s="244"/>
      <c r="G102" s="243"/>
      <c r="H102" s="15"/>
      <c r="I102" s="244"/>
      <c r="J102" s="243"/>
      <c r="K102" s="215"/>
      <c r="L102" s="244"/>
      <c r="M102" s="243"/>
      <c r="N102" s="215"/>
      <c r="O102" s="353"/>
      <c r="P102" s="366"/>
      <c r="Q102" s="31"/>
      <c r="R102" s="307"/>
      <c r="S102" s="308"/>
      <c r="T102" s="30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193" t="s">
        <v>104</v>
      </c>
      <c r="C103" s="169"/>
      <c r="D103" s="170"/>
      <c r="E103" s="15"/>
      <c r="F103" s="246">
        <f>+ROUND(F91+F97+F101,0)</f>
        <v>-498417</v>
      </c>
      <c r="G103" s="245">
        <f>+ROUND(G91+G97+G101,0)</f>
        <v>-161937</v>
      </c>
      <c r="H103" s="15"/>
      <c r="I103" s="246">
        <f>+ROUND(I91+I97+I101,0)</f>
        <v>0</v>
      </c>
      <c r="J103" s="245">
        <f>+ROUND(J91+J97+J101,0)</f>
        <v>0</v>
      </c>
      <c r="K103" s="215"/>
      <c r="L103" s="246">
        <f>+ROUND(L91+L97+L101,0)</f>
        <v>0</v>
      </c>
      <c r="M103" s="245">
        <f>+ROUND(M91+M97+M101,0)</f>
        <v>0</v>
      </c>
      <c r="N103" s="215"/>
      <c r="O103" s="367">
        <f>+ROUND(O91+O97+O101,0)</f>
        <v>-498417</v>
      </c>
      <c r="P103" s="368">
        <f>+ROUND(P91+P97+P101,0)</f>
        <v>-161937</v>
      </c>
      <c r="Q103" s="94"/>
      <c r="R103" s="765" t="s">
        <v>210</v>
      </c>
      <c r="S103" s="766"/>
      <c r="T103" s="767"/>
      <c r="U103" s="34"/>
      <c r="V103" s="2"/>
      <c r="W103" s="71" t="s">
        <v>47</v>
      </c>
      <c r="X103" s="7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82" t="s">
        <v>102</v>
      </c>
      <c r="C104" s="124"/>
      <c r="D104" s="125"/>
      <c r="E104" s="15"/>
      <c r="F104" s="226"/>
      <c r="G104" s="216"/>
      <c r="H104" s="15"/>
      <c r="I104" s="226"/>
      <c r="J104" s="216"/>
      <c r="K104" s="215"/>
      <c r="L104" s="226"/>
      <c r="M104" s="216"/>
      <c r="N104" s="215"/>
      <c r="O104" s="354"/>
      <c r="P104" s="347"/>
      <c r="Q104" s="31"/>
      <c r="R104" s="325" t="s">
        <v>102</v>
      </c>
      <c r="S104" s="284"/>
      <c r="T104" s="32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83" t="s">
        <v>85</v>
      </c>
      <c r="C105" s="138"/>
      <c r="D105" s="139"/>
      <c r="E105" s="15"/>
      <c r="F105" s="244"/>
      <c r="G105" s="243"/>
      <c r="H105" s="15"/>
      <c r="I105" s="244"/>
      <c r="J105" s="243"/>
      <c r="K105" s="215"/>
      <c r="L105" s="244"/>
      <c r="M105" s="243"/>
      <c r="N105" s="215"/>
      <c r="O105" s="353"/>
      <c r="P105" s="366"/>
      <c r="Q105" s="31"/>
      <c r="R105" s="327" t="s">
        <v>85</v>
      </c>
      <c r="S105" s="328"/>
      <c r="T105" s="32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0" t="s">
        <v>96</v>
      </c>
      <c r="C106" s="140"/>
      <c r="D106" s="141"/>
      <c r="E106" s="15"/>
      <c r="F106" s="220"/>
      <c r="G106" s="219"/>
      <c r="H106" s="15"/>
      <c r="I106" s="220"/>
      <c r="J106" s="219"/>
      <c r="K106" s="215"/>
      <c r="L106" s="220"/>
      <c r="M106" s="219"/>
      <c r="N106" s="215"/>
      <c r="O106" s="348">
        <f>+ROUND(+F106+I106+L106,0)</f>
        <v>0</v>
      </c>
      <c r="P106" s="400">
        <f>+ROUND(+G106+J106+M106,0)</f>
        <v>0</v>
      </c>
      <c r="Q106" s="31"/>
      <c r="R106" s="733" t="s">
        <v>211</v>
      </c>
      <c r="S106" s="734"/>
      <c r="T106" s="735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1" t="s">
        <v>97</v>
      </c>
      <c r="C107" s="142"/>
      <c r="D107" s="143"/>
      <c r="E107" s="15"/>
      <c r="F107" s="222"/>
      <c r="G107" s="221"/>
      <c r="H107" s="15"/>
      <c r="I107" s="222"/>
      <c r="J107" s="221"/>
      <c r="K107" s="215"/>
      <c r="L107" s="222"/>
      <c r="M107" s="221"/>
      <c r="N107" s="215"/>
      <c r="O107" s="349">
        <f>+ROUND(+F107+I107+L107,0)</f>
        <v>0</v>
      </c>
      <c r="P107" s="372">
        <f>+ROUND(+G107+J107+M107,0)</f>
        <v>0</v>
      </c>
      <c r="Q107" s="31"/>
      <c r="R107" s="744" t="s">
        <v>212</v>
      </c>
      <c r="S107" s="745"/>
      <c r="T107" s="746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35" t="s">
        <v>138</v>
      </c>
      <c r="C108" s="136"/>
      <c r="D108" s="137"/>
      <c r="E108" s="15"/>
      <c r="F108" s="250">
        <f>+ROUND(+SUM(F106:F107),0)</f>
        <v>0</v>
      </c>
      <c r="G108" s="249">
        <f>+ROUND(+SUM(G106:G107),0)</f>
        <v>0</v>
      </c>
      <c r="H108" s="15"/>
      <c r="I108" s="250">
        <f>+ROUND(+SUM(I106:I107),0)</f>
        <v>0</v>
      </c>
      <c r="J108" s="249">
        <f>+ROUND(+SUM(J106:J107),0)</f>
        <v>0</v>
      </c>
      <c r="K108" s="215"/>
      <c r="L108" s="250">
        <f>+ROUND(+SUM(L106:L107),0)</f>
        <v>0</v>
      </c>
      <c r="M108" s="249">
        <f>+ROUND(+SUM(M106:M107),0)</f>
        <v>0</v>
      </c>
      <c r="N108" s="215"/>
      <c r="O108" s="369">
        <f>+ROUND(+SUM(O106:O107),0)</f>
        <v>0</v>
      </c>
      <c r="P108" s="370">
        <f>+ROUND(+SUM(P106:P107),0)</f>
        <v>0</v>
      </c>
      <c r="Q108" s="31"/>
      <c r="R108" s="753" t="s">
        <v>213</v>
      </c>
      <c r="S108" s="754"/>
      <c r="T108" s="755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84" t="s">
        <v>89</v>
      </c>
      <c r="C109" s="109"/>
      <c r="D109" s="113"/>
      <c r="E109" s="15"/>
      <c r="F109" s="225"/>
      <c r="G109" s="214"/>
      <c r="H109" s="15"/>
      <c r="I109" s="225"/>
      <c r="J109" s="214"/>
      <c r="K109" s="215"/>
      <c r="L109" s="225"/>
      <c r="M109" s="214"/>
      <c r="N109" s="215"/>
      <c r="O109" s="352"/>
      <c r="P109" s="345"/>
      <c r="Q109" s="31"/>
      <c r="R109" s="330" t="s">
        <v>89</v>
      </c>
      <c r="S109" s="285"/>
      <c r="T109" s="33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85" t="s">
        <v>98</v>
      </c>
      <c r="C110" s="144"/>
      <c r="D110" s="145"/>
      <c r="E110" s="15"/>
      <c r="F110" s="218">
        <v>251471</v>
      </c>
      <c r="G110" s="640">
        <v>3028387</v>
      </c>
      <c r="H110" s="15"/>
      <c r="I110" s="218"/>
      <c r="J110" s="217"/>
      <c r="K110" s="215"/>
      <c r="L110" s="218"/>
      <c r="M110" s="217"/>
      <c r="N110" s="215"/>
      <c r="O110" s="353">
        <f>+ROUND(+F110+I110+L110,0)</f>
        <v>251471</v>
      </c>
      <c r="P110" s="366">
        <f>+ROUND(+G110+J110+M110,0)</f>
        <v>3028387</v>
      </c>
      <c r="Q110" s="31"/>
      <c r="R110" s="780" t="s">
        <v>214</v>
      </c>
      <c r="S110" s="781"/>
      <c r="T110" s="78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1" t="s">
        <v>231</v>
      </c>
      <c r="C111" s="142"/>
      <c r="D111" s="143"/>
      <c r="E111" s="15"/>
      <c r="F111" s="222">
        <v>-690045</v>
      </c>
      <c r="G111" s="641">
        <v>-2721197</v>
      </c>
      <c r="H111" s="15"/>
      <c r="I111" s="222"/>
      <c r="J111" s="221"/>
      <c r="K111" s="215"/>
      <c r="L111" s="222"/>
      <c r="M111" s="221"/>
      <c r="N111" s="215"/>
      <c r="O111" s="349">
        <f>+ROUND(+F111+I111+L111,0)</f>
        <v>-690045</v>
      </c>
      <c r="P111" s="372">
        <f>+ROUND(+G111+J111+M111,0)</f>
        <v>-2721197</v>
      </c>
      <c r="Q111" s="31"/>
      <c r="R111" s="783" t="s">
        <v>215</v>
      </c>
      <c r="S111" s="784"/>
      <c r="T111" s="78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35" t="s">
        <v>139</v>
      </c>
      <c r="C112" s="136"/>
      <c r="D112" s="137"/>
      <c r="E112" s="15"/>
      <c r="F112" s="250">
        <f>+ROUND(+SUM(F110:F111),0)</f>
        <v>-438574</v>
      </c>
      <c r="G112" s="249">
        <f>+ROUND(+SUM(G110:G111),0)</f>
        <v>307190</v>
      </c>
      <c r="H112" s="15"/>
      <c r="I112" s="250">
        <f>+ROUND(+SUM(I110:I111),0)</f>
        <v>0</v>
      </c>
      <c r="J112" s="249">
        <f>+ROUND(+SUM(J110:J111),0)</f>
        <v>0</v>
      </c>
      <c r="K112" s="215"/>
      <c r="L112" s="250">
        <f>+ROUND(+SUM(L110:L111),0)</f>
        <v>0</v>
      </c>
      <c r="M112" s="249">
        <f>+ROUND(+SUM(M110:M111),0)</f>
        <v>0</v>
      </c>
      <c r="N112" s="215"/>
      <c r="O112" s="369">
        <f>+ROUND(+SUM(O110:O111),0)</f>
        <v>-438574</v>
      </c>
      <c r="P112" s="370">
        <f>+ROUND(+SUM(P110:P111),0)</f>
        <v>307190</v>
      </c>
      <c r="Q112" s="31"/>
      <c r="R112" s="753" t="s">
        <v>216</v>
      </c>
      <c r="S112" s="754"/>
      <c r="T112" s="755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84" t="s">
        <v>86</v>
      </c>
      <c r="C113" s="109"/>
      <c r="D113" s="113"/>
      <c r="E113" s="15"/>
      <c r="F113" s="225"/>
      <c r="G113" s="214"/>
      <c r="H113" s="15"/>
      <c r="I113" s="225"/>
      <c r="J113" s="214"/>
      <c r="K113" s="215"/>
      <c r="L113" s="225"/>
      <c r="M113" s="214"/>
      <c r="N113" s="215"/>
      <c r="O113" s="352"/>
      <c r="P113" s="345"/>
      <c r="Q113" s="31"/>
      <c r="R113" s="330" t="s">
        <v>86</v>
      </c>
      <c r="S113" s="285"/>
      <c r="T113" s="33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85" t="s">
        <v>99</v>
      </c>
      <c r="C114" s="144"/>
      <c r="D114" s="145"/>
      <c r="E114" s="15"/>
      <c r="F114" s="218"/>
      <c r="G114" s="217"/>
      <c r="H114" s="15"/>
      <c r="I114" s="218"/>
      <c r="J114" s="217"/>
      <c r="K114" s="215"/>
      <c r="L114" s="218"/>
      <c r="M114" s="217"/>
      <c r="N114" s="215"/>
      <c r="O114" s="353">
        <f>+ROUND(+F114+I114+L114,0)</f>
        <v>0</v>
      </c>
      <c r="P114" s="366">
        <f>+ROUND(+G114+J114+M114,0)</f>
        <v>0</v>
      </c>
      <c r="Q114" s="31"/>
      <c r="R114" s="733" t="s">
        <v>217</v>
      </c>
      <c r="S114" s="734"/>
      <c r="T114" s="735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1" t="s">
        <v>100</v>
      </c>
      <c r="C115" s="142"/>
      <c r="D115" s="143"/>
      <c r="E115" s="15"/>
      <c r="F115" s="222"/>
      <c r="G115" s="221"/>
      <c r="H115" s="15"/>
      <c r="I115" s="222"/>
      <c r="J115" s="221"/>
      <c r="K115" s="215"/>
      <c r="L115" s="222"/>
      <c r="M115" s="221"/>
      <c r="N115" s="215"/>
      <c r="O115" s="349">
        <f>+ROUND(+F115+I115+L115,0)</f>
        <v>0</v>
      </c>
      <c r="P115" s="372">
        <f>+ROUND(+G115+J115+M115,0)</f>
        <v>0</v>
      </c>
      <c r="Q115" s="31"/>
      <c r="R115" s="744" t="s">
        <v>218</v>
      </c>
      <c r="S115" s="745"/>
      <c r="T115" s="746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35" t="s">
        <v>140</v>
      </c>
      <c r="C116" s="136"/>
      <c r="D116" s="137"/>
      <c r="E116" s="15"/>
      <c r="F116" s="250">
        <f>+ROUND(+SUM(F114:F115),0)</f>
        <v>0</v>
      </c>
      <c r="G116" s="249">
        <f>+ROUND(+SUM(G114:G115),0)</f>
        <v>0</v>
      </c>
      <c r="H116" s="15"/>
      <c r="I116" s="250">
        <f>+ROUND(+SUM(I114:I115),0)</f>
        <v>0</v>
      </c>
      <c r="J116" s="249">
        <f>+ROUND(+SUM(J114:J115),0)</f>
        <v>0</v>
      </c>
      <c r="K116" s="215"/>
      <c r="L116" s="250">
        <f>+ROUND(+SUM(L114:L115),0)</f>
        <v>0</v>
      </c>
      <c r="M116" s="249">
        <f>+ROUND(+SUM(M114:M115),0)</f>
        <v>0</v>
      </c>
      <c r="N116" s="215"/>
      <c r="O116" s="369">
        <f>+ROUND(+SUM(O114:O115),0)</f>
        <v>0</v>
      </c>
      <c r="P116" s="370">
        <f>+ROUND(+SUM(P114:P115),0)</f>
        <v>0</v>
      </c>
      <c r="Q116" s="31"/>
      <c r="R116" s="753" t="s">
        <v>219</v>
      </c>
      <c r="S116" s="754"/>
      <c r="T116" s="755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84" t="s">
        <v>90</v>
      </c>
      <c r="C117" s="109"/>
      <c r="D117" s="113"/>
      <c r="E117" s="15"/>
      <c r="F117" s="226"/>
      <c r="G117" s="216"/>
      <c r="H117" s="15"/>
      <c r="I117" s="226"/>
      <c r="J117" s="216"/>
      <c r="K117" s="215"/>
      <c r="L117" s="226"/>
      <c r="M117" s="216"/>
      <c r="N117" s="215"/>
      <c r="O117" s="354"/>
      <c r="P117" s="347"/>
      <c r="Q117" s="31"/>
      <c r="R117" s="330" t="s">
        <v>90</v>
      </c>
      <c r="S117" s="285"/>
      <c r="T117" s="33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85" t="s">
        <v>118</v>
      </c>
      <c r="C118" s="144"/>
      <c r="D118" s="145"/>
      <c r="E118" s="15"/>
      <c r="F118" s="248"/>
      <c r="G118" s="247"/>
      <c r="H118" s="15"/>
      <c r="I118" s="248">
        <v>46</v>
      </c>
      <c r="J118" s="646">
        <v>-2748</v>
      </c>
      <c r="K118" s="215"/>
      <c r="L118" s="248">
        <v>-603</v>
      </c>
      <c r="M118" s="247">
        <v>-6439</v>
      </c>
      <c r="N118" s="215"/>
      <c r="O118" s="354">
        <f>+ROUND(+F118+I118+L118,0)</f>
        <v>-557</v>
      </c>
      <c r="P118" s="347">
        <f>+ROUND(+G118+J118+M118,0)</f>
        <v>-9187</v>
      </c>
      <c r="Q118" s="31"/>
      <c r="R118" s="733" t="s">
        <v>220</v>
      </c>
      <c r="S118" s="734"/>
      <c r="T118" s="735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1" t="s">
        <v>119</v>
      </c>
      <c r="C119" s="142"/>
      <c r="D119" s="143"/>
      <c r="E119" s="15"/>
      <c r="F119" s="222">
        <v>11326</v>
      </c>
      <c r="G119" s="641">
        <v>-11326</v>
      </c>
      <c r="H119" s="15"/>
      <c r="I119" s="222"/>
      <c r="J119" s="221"/>
      <c r="K119" s="215"/>
      <c r="L119" s="222"/>
      <c r="M119" s="221"/>
      <c r="N119" s="215"/>
      <c r="O119" s="349">
        <f>+ROUND(+F119+I119+L119,0)</f>
        <v>11326</v>
      </c>
      <c r="P119" s="372">
        <f>+ROUND(+G119+J119+M119,0)</f>
        <v>-11326</v>
      </c>
      <c r="Q119" s="31"/>
      <c r="R119" s="744" t="s">
        <v>221</v>
      </c>
      <c r="S119" s="745"/>
      <c r="T119" s="746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35" t="s">
        <v>141</v>
      </c>
      <c r="C120" s="136"/>
      <c r="D120" s="137"/>
      <c r="E120" s="15"/>
      <c r="F120" s="250">
        <f>+ROUND(+SUM(F118:F119),0)</f>
        <v>11326</v>
      </c>
      <c r="G120" s="249">
        <f>+ROUND(+SUM(G118:G119),0)</f>
        <v>-11326</v>
      </c>
      <c r="H120" s="15"/>
      <c r="I120" s="250">
        <f>+ROUND(+SUM(I118:I119),0)</f>
        <v>46</v>
      </c>
      <c r="J120" s="249">
        <f>+ROUND(+SUM(J118:J119),0)</f>
        <v>-2748</v>
      </c>
      <c r="K120" s="215"/>
      <c r="L120" s="250">
        <f>+ROUND(+SUM(L118:L119),0)</f>
        <v>-603</v>
      </c>
      <c r="M120" s="249">
        <f>+ROUND(+SUM(M118:M119),0)</f>
        <v>-6439</v>
      </c>
      <c r="N120" s="215"/>
      <c r="O120" s="369">
        <f>+ROUND(+SUM(O118:O119),0)</f>
        <v>10769</v>
      </c>
      <c r="P120" s="370">
        <f>+ROUND(+SUM(P118:P119),0)</f>
        <v>-20513</v>
      </c>
      <c r="Q120" s="31"/>
      <c r="R120" s="753" t="s">
        <v>222</v>
      </c>
      <c r="S120" s="754"/>
      <c r="T120" s="755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57"/>
      <c r="C121" s="158"/>
      <c r="D121" s="159"/>
      <c r="E121" s="15"/>
      <c r="F121" s="256"/>
      <c r="G121" s="255"/>
      <c r="H121" s="15"/>
      <c r="I121" s="256"/>
      <c r="J121" s="255"/>
      <c r="K121" s="215"/>
      <c r="L121" s="256"/>
      <c r="M121" s="255"/>
      <c r="N121" s="215"/>
      <c r="O121" s="349"/>
      <c r="P121" s="372"/>
      <c r="Q121" s="31"/>
      <c r="R121" s="313"/>
      <c r="S121" s="314"/>
      <c r="T121" s="31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195" t="s">
        <v>143</v>
      </c>
      <c r="C122" s="171"/>
      <c r="D122" s="172"/>
      <c r="E122" s="15"/>
      <c r="F122" s="257">
        <f>+ROUND(F108+F112+F116+F120,0)</f>
        <v>-427248</v>
      </c>
      <c r="G122" s="260">
        <f>+ROUND(G108+G112+G116+G120,0)</f>
        <v>295864</v>
      </c>
      <c r="H122" s="15"/>
      <c r="I122" s="257">
        <f>+ROUND(I108+I112+I116+I120,0)</f>
        <v>46</v>
      </c>
      <c r="J122" s="260">
        <f>+ROUND(J108+J112+J116+J120,0)</f>
        <v>-2748</v>
      </c>
      <c r="K122" s="215"/>
      <c r="L122" s="257">
        <f>+ROUND(L108+L112+L116+L120,0)</f>
        <v>-603</v>
      </c>
      <c r="M122" s="260">
        <f>+ROUND(M108+M112+M116+M120,0)</f>
        <v>-6439</v>
      </c>
      <c r="N122" s="215"/>
      <c r="O122" s="373">
        <f>+ROUND(O108+O112+O116+O120,0)</f>
        <v>-427805</v>
      </c>
      <c r="P122" s="380">
        <f>+ROUND(P108+P112+P116+P120,0)</f>
        <v>286677</v>
      </c>
      <c r="Q122" s="31"/>
      <c r="R122" s="768" t="s">
        <v>223</v>
      </c>
      <c r="S122" s="769"/>
      <c r="T122" s="77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82" t="s">
        <v>116</v>
      </c>
      <c r="C123" s="124"/>
      <c r="D123" s="125"/>
      <c r="E123" s="15"/>
      <c r="F123" s="226"/>
      <c r="G123" s="216"/>
      <c r="H123" s="15"/>
      <c r="I123" s="226"/>
      <c r="J123" s="216"/>
      <c r="K123" s="215"/>
      <c r="L123" s="226"/>
      <c r="M123" s="216"/>
      <c r="N123" s="215"/>
      <c r="O123" s="354"/>
      <c r="P123" s="347"/>
      <c r="Q123" s="31"/>
      <c r="R123" s="325" t="s">
        <v>116</v>
      </c>
      <c r="S123" s="284"/>
      <c r="T123" s="32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85" t="s">
        <v>88</v>
      </c>
      <c r="C124" s="144"/>
      <c r="D124" s="145"/>
      <c r="E124" s="15"/>
      <c r="F124" s="218"/>
      <c r="G124" s="217"/>
      <c r="H124" s="15"/>
      <c r="I124" s="218"/>
      <c r="J124" s="217"/>
      <c r="K124" s="215"/>
      <c r="L124" s="218"/>
      <c r="M124" s="217"/>
      <c r="N124" s="215"/>
      <c r="O124" s="353">
        <f aca="true" t="shared" si="7" ref="O124:P128">+ROUND(+F124+I124+L124,0)</f>
        <v>0</v>
      </c>
      <c r="P124" s="366">
        <f t="shared" si="7"/>
        <v>0</v>
      </c>
      <c r="Q124" s="31"/>
      <c r="R124" s="733" t="s">
        <v>224</v>
      </c>
      <c r="S124" s="734"/>
      <c r="T124" s="73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0" t="s">
        <v>117</v>
      </c>
      <c r="C125" s="140"/>
      <c r="D125" s="141"/>
      <c r="E125" s="15"/>
      <c r="F125" s="222">
        <v>927474</v>
      </c>
      <c r="G125" s="641">
        <v>-1617026</v>
      </c>
      <c r="H125" s="15"/>
      <c r="I125" s="222">
        <f>-912032-15442</f>
        <v>-927474</v>
      </c>
      <c r="J125" s="641">
        <v>1617026</v>
      </c>
      <c r="K125" s="215"/>
      <c r="L125" s="222"/>
      <c r="M125" s="646"/>
      <c r="N125" s="215"/>
      <c r="O125" s="349">
        <f t="shared" si="7"/>
        <v>0</v>
      </c>
      <c r="P125" s="372">
        <f t="shared" si="7"/>
        <v>0</v>
      </c>
      <c r="Q125" s="31"/>
      <c r="R125" s="744" t="s">
        <v>225</v>
      </c>
      <c r="S125" s="745"/>
      <c r="T125" s="746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0" t="s">
        <v>147</v>
      </c>
      <c r="C126" s="140"/>
      <c r="D126" s="141"/>
      <c r="E126" s="15"/>
      <c r="F126" s="222"/>
      <c r="G126" s="221"/>
      <c r="H126" s="15"/>
      <c r="I126" s="222"/>
      <c r="J126" s="221"/>
      <c r="K126" s="215"/>
      <c r="L126" s="222"/>
      <c r="M126" s="221"/>
      <c r="N126" s="215"/>
      <c r="O126" s="349">
        <f t="shared" si="7"/>
        <v>0</v>
      </c>
      <c r="P126" s="372">
        <f t="shared" si="7"/>
        <v>0</v>
      </c>
      <c r="Q126" s="31"/>
      <c r="R126" s="774" t="s">
        <v>286</v>
      </c>
      <c r="S126" s="775"/>
      <c r="T126" s="776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492" t="s">
        <v>281</v>
      </c>
      <c r="C127" s="490"/>
      <c r="D127" s="491"/>
      <c r="E127" s="15"/>
      <c r="F127" s="501"/>
      <c r="G127" s="502"/>
      <c r="H127" s="15"/>
      <c r="I127" s="499"/>
      <c r="J127" s="500"/>
      <c r="K127" s="215"/>
      <c r="L127" s="499"/>
      <c r="M127" s="500"/>
      <c r="N127" s="215"/>
      <c r="O127" s="497"/>
      <c r="P127" s="498"/>
      <c r="Q127" s="31"/>
      <c r="R127" s="786" t="s">
        <v>282</v>
      </c>
      <c r="S127" s="787"/>
      <c r="T127" s="788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198" t="s">
        <v>120</v>
      </c>
      <c r="C128" s="162"/>
      <c r="D128" s="163"/>
      <c r="E128" s="15"/>
      <c r="F128" s="493"/>
      <c r="G128" s="494"/>
      <c r="H128" s="15"/>
      <c r="I128" s="493"/>
      <c r="J128" s="494"/>
      <c r="K128" s="215"/>
      <c r="L128" s="493"/>
      <c r="M128" s="494"/>
      <c r="N128" s="215"/>
      <c r="O128" s="495">
        <f t="shared" si="7"/>
        <v>0</v>
      </c>
      <c r="P128" s="496">
        <f t="shared" si="7"/>
        <v>0</v>
      </c>
      <c r="Q128" s="31"/>
      <c r="R128" s="777" t="s">
        <v>226</v>
      </c>
      <c r="S128" s="778"/>
      <c r="T128" s="779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196" t="s">
        <v>232</v>
      </c>
      <c r="C129" s="130"/>
      <c r="D129" s="131"/>
      <c r="E129" s="15"/>
      <c r="F129" s="259">
        <f>+ROUND(+SUM(F124,F125,F126,F128),0)</f>
        <v>927474</v>
      </c>
      <c r="G129" s="258">
        <f>+ROUND(+SUM(G124,G125,G126,G128),0)</f>
        <v>-1617026</v>
      </c>
      <c r="H129" s="15"/>
      <c r="I129" s="259">
        <f>+ROUND(+SUM(I124,I125,I126,I128),0)</f>
        <v>-927474</v>
      </c>
      <c r="J129" s="258">
        <f>+ROUND(+SUM(J124,J125,J126,J128),0)</f>
        <v>1617026</v>
      </c>
      <c r="K129" s="215"/>
      <c r="L129" s="259">
        <f>+ROUND(+SUM(L124,L125,L126,L128),0)</f>
        <v>0</v>
      </c>
      <c r="M129" s="258">
        <f>+ROUND(+SUM(M124,M125,M126,M128),0)</f>
        <v>0</v>
      </c>
      <c r="N129" s="215"/>
      <c r="O129" s="374">
        <f>+ROUND(+SUM(O124,O125,O126,O128),0)</f>
        <v>0</v>
      </c>
      <c r="P129" s="375">
        <f>+ROUND(+SUM(P124,P125,P126,P128),0)</f>
        <v>0</v>
      </c>
      <c r="Q129" s="31"/>
      <c r="R129" s="771" t="s">
        <v>227</v>
      </c>
      <c r="S129" s="772"/>
      <c r="T129" s="773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82" t="s">
        <v>304</v>
      </c>
      <c r="C130" s="124"/>
      <c r="D130" s="125"/>
      <c r="E130" s="15"/>
      <c r="F130" s="226"/>
      <c r="G130" s="216"/>
      <c r="H130" s="15"/>
      <c r="I130" s="226"/>
      <c r="J130" s="216"/>
      <c r="K130" s="215"/>
      <c r="L130" s="226"/>
      <c r="M130" s="216"/>
      <c r="N130" s="215"/>
      <c r="O130" s="354"/>
      <c r="P130" s="347"/>
      <c r="Q130" s="31"/>
      <c r="R130" s="325" t="str">
        <f>+B130</f>
        <v> И. ИЗМЕНЕНИЕ НА ПАРИЧНИ СРЕДСТВА - КАСОВО ИЗПЪЛНЕНИЕ</v>
      </c>
      <c r="S130" s="284"/>
      <c r="T130" s="32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85" t="s">
        <v>106</v>
      </c>
      <c r="C131" s="144"/>
      <c r="D131" s="145"/>
      <c r="E131" s="15"/>
      <c r="F131" s="218">
        <v>1452290</v>
      </c>
      <c r="G131" s="640">
        <v>785296</v>
      </c>
      <c r="H131" s="15"/>
      <c r="I131" s="218">
        <v>7369</v>
      </c>
      <c r="J131" s="640">
        <v>3640</v>
      </c>
      <c r="K131" s="215"/>
      <c r="L131" s="218">
        <v>601492</v>
      </c>
      <c r="M131" s="640">
        <v>607931</v>
      </c>
      <c r="N131" s="215"/>
      <c r="O131" s="353">
        <f aca="true" t="shared" si="8" ref="O131:P133">+ROUND(+F131+I131+L131,0)</f>
        <v>2061151</v>
      </c>
      <c r="P131" s="366">
        <f t="shared" si="8"/>
        <v>1396867</v>
      </c>
      <c r="Q131" s="31"/>
      <c r="R131" s="733" t="s">
        <v>228</v>
      </c>
      <c r="S131" s="734"/>
      <c r="T131" s="735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42" t="s">
        <v>303</v>
      </c>
      <c r="C132" s="140"/>
      <c r="D132" s="141"/>
      <c r="E132" s="15"/>
      <c r="F132" s="222"/>
      <c r="G132" s="641"/>
      <c r="H132" s="15"/>
      <c r="I132" s="222"/>
      <c r="J132" s="641"/>
      <c r="K132" s="215"/>
      <c r="L132" s="222"/>
      <c r="M132" s="641"/>
      <c r="N132" s="215"/>
      <c r="O132" s="349">
        <f t="shared" si="8"/>
        <v>0</v>
      </c>
      <c r="P132" s="372">
        <f t="shared" si="8"/>
        <v>0</v>
      </c>
      <c r="Q132" s="31"/>
      <c r="R132" s="744" t="s">
        <v>229</v>
      </c>
      <c r="S132" s="745"/>
      <c r="T132" s="746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199" t="s">
        <v>113</v>
      </c>
      <c r="C133" s="164"/>
      <c r="D133" s="165"/>
      <c r="E133" s="15"/>
      <c r="F133" s="222">
        <v>4647414</v>
      </c>
      <c r="G133" s="641">
        <v>1452290</v>
      </c>
      <c r="H133" s="15"/>
      <c r="I133" s="222">
        <f>96</f>
        <v>96</v>
      </c>
      <c r="J133" s="641">
        <v>7369</v>
      </c>
      <c r="K133" s="215"/>
      <c r="L133" s="222">
        <v>600889</v>
      </c>
      <c r="M133" s="641">
        <v>601492</v>
      </c>
      <c r="N133" s="215"/>
      <c r="O133" s="349">
        <f t="shared" si="8"/>
        <v>5248399</v>
      </c>
      <c r="P133" s="372">
        <f t="shared" si="8"/>
        <v>2061151</v>
      </c>
      <c r="Q133" s="31"/>
      <c r="R133" s="794" t="s">
        <v>230</v>
      </c>
      <c r="S133" s="795"/>
      <c r="T133" s="79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0" t="s">
        <v>305</v>
      </c>
      <c r="C134" s="166"/>
      <c r="D134" s="167"/>
      <c r="E134" s="15"/>
      <c r="F134" s="264">
        <f>+ROUND(+F133-F131-F132,0)</f>
        <v>3195124</v>
      </c>
      <c r="G134" s="263">
        <f>+ROUND(+G133-G131-G132,0)</f>
        <v>666994</v>
      </c>
      <c r="H134" s="15"/>
      <c r="I134" s="264">
        <f>+ROUND(+I133-I131-I132,0)</f>
        <v>-7273</v>
      </c>
      <c r="J134" s="263">
        <f>+ROUND(+J133-J131-J132,0)</f>
        <v>3729</v>
      </c>
      <c r="K134" s="215"/>
      <c r="L134" s="264">
        <f>+ROUND(+L133-L131-L132,0)</f>
        <v>-603</v>
      </c>
      <c r="M134" s="263">
        <f>+ROUND(+M133-M131-M132,0)</f>
        <v>-6439</v>
      </c>
      <c r="N134" s="215"/>
      <c r="O134" s="382">
        <f>+ROUND(+O133-O131-O132,0)</f>
        <v>3187248</v>
      </c>
      <c r="P134" s="383">
        <f>+ROUND(+P133-P131-P132,0)</f>
        <v>664284</v>
      </c>
      <c r="Q134" s="31"/>
      <c r="R134" s="791" t="s">
        <v>307</v>
      </c>
      <c r="S134" s="792"/>
      <c r="T134" s="793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2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26"/>
      <c r="D135" s="726"/>
      <c r="E135" s="15"/>
      <c r="F135" s="460">
        <f>+ROUND(F85,0)+ROUND(F86,0)</f>
        <v>0</v>
      </c>
      <c r="G135" s="463">
        <f>+ROUND(G85,0)+ROUND(G86,0)</f>
        <v>0</v>
      </c>
      <c r="H135" s="117"/>
      <c r="I135" s="460">
        <f>+ROUND(I85,0)+ROUND(I86,0)</f>
        <v>0</v>
      </c>
      <c r="J135" s="463">
        <f>+ROUND(J85,0)+ROUND(J86,0)</f>
        <v>0</v>
      </c>
      <c r="K135" s="461"/>
      <c r="L135" s="460">
        <f>+ROUND(L85,0)+ROUND(L86,0)</f>
        <v>0</v>
      </c>
      <c r="M135" s="463">
        <f>+ROUND(M85,0)+ROUND(M86,0)</f>
        <v>0</v>
      </c>
      <c r="N135" s="461"/>
      <c r="O135" s="462">
        <f>+ROUND(O85,0)+ROUND(O86,0)</f>
        <v>0</v>
      </c>
      <c r="P135" s="463">
        <f>+ROUND(P85,0)+ROUND(P86,0)</f>
        <v>0</v>
      </c>
      <c r="Q135" s="33"/>
      <c r="R135" s="209"/>
      <c r="S135" s="209"/>
      <c r="T135" s="20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06" t="s">
        <v>306</v>
      </c>
      <c r="C136" s="507"/>
      <c r="D136" s="508"/>
      <c r="E136" s="15"/>
      <c r="F136" s="225"/>
      <c r="G136" s="214"/>
      <c r="H136" s="15"/>
      <c r="I136" s="225"/>
      <c r="J136" s="214"/>
      <c r="K136" s="215"/>
      <c r="L136" s="225"/>
      <c r="M136" s="214"/>
      <c r="N136" s="215"/>
      <c r="O136" s="352"/>
      <c r="P136" s="345"/>
      <c r="Q136" s="31"/>
      <c r="R136" s="509" t="str">
        <f>+B136</f>
        <v>К. ДРУГИ ИЗМЕНЕНИЯ - АКРЕДИТИВНИ И ДРУГИ СМЕТКИ</v>
      </c>
      <c r="S136" s="510"/>
      <c r="T136" s="511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85" t="s">
        <v>301</v>
      </c>
      <c r="C137" s="144"/>
      <c r="D137" s="145"/>
      <c r="E137" s="15"/>
      <c r="F137" s="218">
        <v>1452290</v>
      </c>
      <c r="G137" s="640">
        <v>785296</v>
      </c>
      <c r="H137" s="15"/>
      <c r="I137" s="218">
        <v>7369</v>
      </c>
      <c r="J137" s="640">
        <v>3640</v>
      </c>
      <c r="K137" s="215"/>
      <c r="L137" s="218">
        <v>601492</v>
      </c>
      <c r="M137" s="640">
        <v>607931</v>
      </c>
      <c r="N137" s="215"/>
      <c r="O137" s="353">
        <f aca="true" t="shared" si="9" ref="O137:P139">+ROUND(+F137+I137+L137,0)</f>
        <v>2061151</v>
      </c>
      <c r="P137" s="366">
        <f t="shared" si="9"/>
        <v>1396867</v>
      </c>
      <c r="Q137" s="31"/>
      <c r="R137" s="686" t="s">
        <v>321</v>
      </c>
      <c r="S137" s="687"/>
      <c r="T137" s="68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42" t="s">
        <v>309</v>
      </c>
      <c r="C138" s="140"/>
      <c r="D138" s="141"/>
      <c r="E138" s="15"/>
      <c r="F138" s="222"/>
      <c r="G138" s="641"/>
      <c r="H138" s="15"/>
      <c r="I138" s="222"/>
      <c r="J138" s="641"/>
      <c r="K138" s="215"/>
      <c r="L138" s="222"/>
      <c r="M138" s="641"/>
      <c r="N138" s="215"/>
      <c r="O138" s="349">
        <f t="shared" si="9"/>
        <v>0</v>
      </c>
      <c r="P138" s="372">
        <f t="shared" si="9"/>
        <v>0</v>
      </c>
      <c r="Q138" s="31"/>
      <c r="R138" s="689" t="s">
        <v>318</v>
      </c>
      <c r="S138" s="690"/>
      <c r="T138" s="69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199" t="s">
        <v>302</v>
      </c>
      <c r="C139" s="164"/>
      <c r="D139" s="165"/>
      <c r="E139" s="15"/>
      <c r="F139" s="222">
        <v>-4647414</v>
      </c>
      <c r="G139" s="641">
        <v>-1452290</v>
      </c>
      <c r="H139" s="15"/>
      <c r="I139" s="222">
        <v>-96</v>
      </c>
      <c r="J139" s="641">
        <v>-7369</v>
      </c>
      <c r="K139" s="215"/>
      <c r="L139" s="222">
        <v>-600889</v>
      </c>
      <c r="M139" s="641">
        <v>-601492</v>
      </c>
      <c r="N139" s="215"/>
      <c r="O139" s="349">
        <f t="shared" si="9"/>
        <v>-5248399</v>
      </c>
      <c r="P139" s="372">
        <f t="shared" si="9"/>
        <v>-2061151</v>
      </c>
      <c r="Q139" s="31"/>
      <c r="R139" s="692" t="s">
        <v>317</v>
      </c>
      <c r="S139" s="693"/>
      <c r="T139" s="69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0" t="s">
        <v>322</v>
      </c>
      <c r="C140" s="166"/>
      <c r="D140" s="167"/>
      <c r="E140" s="15"/>
      <c r="F140" s="264">
        <f>+ROUND(+F139-F137-F138,0)</f>
        <v>-6099704</v>
      </c>
      <c r="G140" s="263">
        <f>+ROUND(+G139-G137-G138,0)</f>
        <v>-2237586</v>
      </c>
      <c r="H140" s="15"/>
      <c r="I140" s="264">
        <f>+ROUND(+I139-I137-I138,0)</f>
        <v>-7465</v>
      </c>
      <c r="J140" s="263">
        <f>+ROUND(+J139-J137-J138,0)</f>
        <v>-11009</v>
      </c>
      <c r="K140" s="215"/>
      <c r="L140" s="264">
        <f>+ROUND(+L139-L137-L138,0)</f>
        <v>-1202381</v>
      </c>
      <c r="M140" s="263">
        <f>+ROUND(+M139-M137-M138,0)</f>
        <v>-1209423</v>
      </c>
      <c r="N140" s="215"/>
      <c r="O140" s="382">
        <f>+ROUND(+O139-O137-O138,0)</f>
        <v>-7309550</v>
      </c>
      <c r="P140" s="383">
        <f>+ROUND(+P139-P137-P138,0)</f>
        <v>-3458018</v>
      </c>
      <c r="Q140" s="31"/>
      <c r="R140" s="695" t="s">
        <v>308</v>
      </c>
      <c r="S140" s="696"/>
      <c r="T140" s="69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12"/>
      <c r="C141" s="513"/>
      <c r="D141" s="518"/>
      <c r="E141" s="15"/>
      <c r="F141" s="519"/>
      <c r="G141" s="515"/>
      <c r="H141" s="15"/>
      <c r="I141" s="514"/>
      <c r="J141" s="515"/>
      <c r="K141" s="516"/>
      <c r="L141" s="514"/>
      <c r="M141" s="515"/>
      <c r="N141" s="516"/>
      <c r="O141" s="514"/>
      <c r="P141" s="517"/>
      <c r="Q141" s="31"/>
      <c r="R141" s="313"/>
      <c r="S141" s="314"/>
      <c r="T141" s="315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1" t="s">
        <v>313</v>
      </c>
      <c r="C142" s="522"/>
      <c r="D142" s="523"/>
      <c r="E142" s="15"/>
      <c r="F142" s="524">
        <f>+F134+F140</f>
        <v>-2904580</v>
      </c>
      <c r="G142" s="525">
        <f>+G134+G140</f>
        <v>-1570592</v>
      </c>
      <c r="H142" s="15"/>
      <c r="I142" s="524">
        <f>+I134+I140</f>
        <v>-14738</v>
      </c>
      <c r="J142" s="525">
        <f>+J134+J140</f>
        <v>-7280</v>
      </c>
      <c r="K142" s="215"/>
      <c r="L142" s="524">
        <f>+L134+L140</f>
        <v>-1202984</v>
      </c>
      <c r="M142" s="525">
        <f>+M134+M140</f>
        <v>-1215862</v>
      </c>
      <c r="N142" s="215"/>
      <c r="O142" s="382">
        <f>+O134+O140</f>
        <v>-4122302</v>
      </c>
      <c r="P142" s="383">
        <f>+P134+P140</f>
        <v>-2793734</v>
      </c>
      <c r="Q142" s="31"/>
      <c r="R142" s="698" t="s">
        <v>310</v>
      </c>
      <c r="S142" s="699"/>
      <c r="T142" s="70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05"/>
      <c r="C143" s="505"/>
      <c r="D143" s="505"/>
      <c r="E143" s="15"/>
      <c r="F143" s="409"/>
      <c r="G143" s="409"/>
      <c r="H143" s="15"/>
      <c r="I143" s="409"/>
      <c r="J143" s="409"/>
      <c r="K143" s="16"/>
      <c r="L143" s="409"/>
      <c r="M143" s="409"/>
      <c r="N143" s="16"/>
      <c r="O143" s="409"/>
      <c r="P143" s="409"/>
      <c r="Q143" s="33"/>
      <c r="R143" s="526"/>
      <c r="S143" s="526"/>
      <c r="T143" s="526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08"/>
      <c r="C144" s="408"/>
      <c r="D144" s="408"/>
      <c r="E144" s="408"/>
      <c r="F144" s="503">
        <f>+IF(F145&lt;&gt;0,"ГРЕШКА - ред 127",0)</f>
        <v>0</v>
      </c>
      <c r="G144" s="503">
        <f>+IF(G145&lt;&gt;0,"ГРЕШКА - ред 127",0)</f>
        <v>0</v>
      </c>
      <c r="H144" s="15"/>
      <c r="I144" s="409"/>
      <c r="J144" s="409"/>
      <c r="K144" s="16"/>
      <c r="L144" s="409"/>
      <c r="M144" s="409"/>
      <c r="N144" s="16"/>
      <c r="O144" s="409"/>
      <c r="P144" s="409"/>
      <c r="Q144" s="33"/>
      <c r="R144" s="210"/>
      <c r="S144" s="210"/>
      <c r="T144" s="210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08"/>
      <c r="C145" s="408"/>
      <c r="D145" s="408"/>
      <c r="E145" s="408"/>
      <c r="F145" s="503">
        <f>+IF(AND($M$1&lt;&gt;9900,F127&lt;&gt;0),F127,0)</f>
        <v>0</v>
      </c>
      <c r="G145" s="503">
        <f>+IF(AND($M$1&lt;&gt;9900,G127&lt;&gt;0),G127,0)</f>
        <v>0</v>
      </c>
      <c r="H145" s="15"/>
      <c r="I145" s="409"/>
      <c r="J145" s="409"/>
      <c r="K145" s="16"/>
      <c r="L145" s="409"/>
      <c r="M145" s="409"/>
      <c r="N145" s="16"/>
      <c r="O145" s="409"/>
      <c r="P145" s="409"/>
      <c r="Q145" s="33"/>
      <c r="R145" s="210"/>
      <c r="S145" s="210"/>
      <c r="T145" s="210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08"/>
      <c r="C146" s="408"/>
      <c r="D146" s="408"/>
      <c r="E146" s="408"/>
      <c r="F146" s="409"/>
      <c r="G146" s="409"/>
      <c r="H146" s="15"/>
      <c r="I146" s="409"/>
      <c r="J146" s="409"/>
      <c r="K146" s="16"/>
      <c r="L146" s="409"/>
      <c r="M146" s="409"/>
      <c r="N146" s="16"/>
      <c r="O146" s="409"/>
      <c r="P146" s="409"/>
      <c r="Q146" s="33"/>
      <c r="R146" s="210"/>
      <c r="S146" s="210"/>
      <c r="T146" s="210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77">
        <v>15022021</v>
      </c>
      <c r="D147" s="31" t="s">
        <v>6</v>
      </c>
      <c r="E147" s="15"/>
      <c r="F147" s="410"/>
      <c r="G147" s="410"/>
      <c r="H147" s="15"/>
      <c r="I147" s="95"/>
      <c r="J147" s="95" t="s">
        <v>121</v>
      </c>
      <c r="K147" s="16"/>
      <c r="L147" s="409"/>
      <c r="M147" s="337"/>
      <c r="N147" s="337"/>
      <c r="O147" s="337"/>
      <c r="P147" s="336"/>
      <c r="Q147" s="33"/>
      <c r="R147" s="210"/>
      <c r="S147" s="210"/>
      <c r="T147" s="210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34" t="s">
        <v>234</v>
      </c>
      <c r="E148" s="15"/>
      <c r="F148" s="701" t="s">
        <v>455</v>
      </c>
      <c r="G148" s="702"/>
      <c r="H148" s="702"/>
      <c r="I148" s="703"/>
      <c r="J148" s="334"/>
      <c r="K148" s="16"/>
      <c r="L148" s="334" t="s">
        <v>234</v>
      </c>
      <c r="M148" s="701" t="s">
        <v>456</v>
      </c>
      <c r="N148" s="702"/>
      <c r="O148" s="702"/>
      <c r="P148" s="703"/>
      <c r="Q148" s="33"/>
      <c r="R148" s="210"/>
      <c r="S148" s="210"/>
      <c r="T148" s="210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B149" s="4"/>
    </row>
    <row r="150" spans="1:28" s="3" customFormat="1" ht="15.75" customHeight="1">
      <c r="A150" s="10"/>
      <c r="B150" s="467" t="s">
        <v>273</v>
      </c>
      <c r="C150" s="468"/>
      <c r="D150" s="469"/>
      <c r="F150" s="478" t="str">
        <f>+IF(+ROUND(F153,0)=0,"O K","НЕРАВНЕНИЕ!")</f>
        <v>O K</v>
      </c>
      <c r="G150" s="479" t="str">
        <f>+IF(+ROUND(G153,0)=0,"O K","НЕРАВНЕНИЕ!")</f>
        <v>O K</v>
      </c>
      <c r="I150" s="474" t="str">
        <f>+IF(+ROUND(I153,0)=0,"O K","НЕРАВНЕНИЕ!")</f>
        <v>O K</v>
      </c>
      <c r="J150" s="475" t="str">
        <f>+IF(+ROUND(J153,0)=0,"O K","НЕРАВНЕНИЕ!")</f>
        <v>O K</v>
      </c>
      <c r="K150" s="88"/>
      <c r="L150" s="470" t="str">
        <f>+IF(+ROUND(L153,0)=0,"O K","НЕРАВНЕНИЕ!")</f>
        <v>O K</v>
      </c>
      <c r="M150" s="471" t="str">
        <f>+IF(+ROUND(M153,0)=0,"O K","НЕРАВНЕНИЕ!")</f>
        <v>O K</v>
      </c>
      <c r="N150" s="89"/>
      <c r="O150" s="388" t="str">
        <f>+IF(+ROUND(O153,0)=0,"O K","НЕРАВНЕНИЕ!")</f>
        <v>O K</v>
      </c>
      <c r="P150" s="392" t="str">
        <f>+IF(+ROUND(P153,0)=0,"O K","НЕРАВНЕНИЕ!")</f>
        <v>O K</v>
      </c>
      <c r="Q150" s="10"/>
      <c r="R150" s="211"/>
      <c r="S150" s="211"/>
      <c r="T150" s="211"/>
      <c r="U150" s="10"/>
      <c r="AB150" s="4"/>
    </row>
    <row r="151" spans="1:28" s="3" customFormat="1" ht="15.75" customHeight="1" thickBot="1">
      <c r="A151" s="10"/>
      <c r="B151" s="467" t="s">
        <v>274</v>
      </c>
      <c r="C151" s="468"/>
      <c r="D151" s="469"/>
      <c r="F151" s="478" t="str">
        <f>+IF(+ROUND(F154,0)=0,"O K","НЕРАВНЕНИЕ!")</f>
        <v>O K</v>
      </c>
      <c r="G151" s="479" t="str">
        <f>+IF(+ROUND(G154,0)=0,"O K","НЕРАВНЕНИЕ!")</f>
        <v>O K</v>
      </c>
      <c r="I151" s="474" t="str">
        <f>+IF(+ROUND(I154,0)=0,"O K","НЕРАВНЕНИЕ!")</f>
        <v>O K</v>
      </c>
      <c r="J151" s="475" t="str">
        <f>+IF(+ROUND(J154,0)=0,"O K","НЕРАВНЕНИЕ!")</f>
        <v>O K</v>
      </c>
      <c r="K151" s="88"/>
      <c r="L151" s="470" t="str">
        <f>+IF(+ROUND(L154,0)=0,"O K","НЕРАВНЕНИЕ!")</f>
        <v>O K</v>
      </c>
      <c r="M151" s="471" t="str">
        <f>+IF(+ROUND(M154,0)=0,"O K","НЕРАВНЕНИЕ!")</f>
        <v>O K</v>
      </c>
      <c r="N151" s="89"/>
      <c r="O151" s="389" t="str">
        <f>+IF(+ROUND(O154,0)=0,"O K","НЕРАВНЕНИЕ!")</f>
        <v>O K</v>
      </c>
      <c r="P151" s="393" t="str">
        <f>+IF(+ROUND(P154,0)=0,"O K","НЕРАВНЕНИЕ!")</f>
        <v>O K</v>
      </c>
      <c r="Q151" s="10"/>
      <c r="R151" s="211"/>
      <c r="S151" s="211"/>
      <c r="T151" s="211"/>
      <c r="U151" s="10"/>
      <c r="AB151" s="4"/>
    </row>
    <row r="152" spans="1:28" s="3" customFormat="1" ht="13.5" thickBot="1">
      <c r="A152" s="10"/>
      <c r="B152" s="10"/>
      <c r="C152" s="10"/>
      <c r="D152" s="10"/>
      <c r="F152" s="89"/>
      <c r="G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B152" s="4"/>
    </row>
    <row r="153" spans="1:28" s="3" customFormat="1" ht="15.75">
      <c r="A153" s="10"/>
      <c r="B153" s="467" t="s">
        <v>275</v>
      </c>
      <c r="C153" s="468"/>
      <c r="D153" s="469"/>
      <c r="F153" s="480">
        <f>+ROUND(F85,0)+ROUND(F86,0)</f>
        <v>0</v>
      </c>
      <c r="G153" s="481">
        <f>+ROUND(G85,0)+ROUND(G86,0)</f>
        <v>0</v>
      </c>
      <c r="I153" s="476">
        <f>+ROUND(I85,0)+ROUND(I86,0)</f>
        <v>0</v>
      </c>
      <c r="J153" s="477">
        <f>+ROUND(J85,0)+ROUND(J86,0)</f>
        <v>0</v>
      </c>
      <c r="K153" s="88"/>
      <c r="L153" s="472">
        <f>+ROUND(L85,0)+ROUND(L86,0)</f>
        <v>0</v>
      </c>
      <c r="M153" s="473">
        <f>+ROUND(M85,0)+ROUND(M86,0)</f>
        <v>0</v>
      </c>
      <c r="N153" s="89"/>
      <c r="O153" s="390">
        <f>+ROUND(O85,0)+ROUND(O86,0)</f>
        <v>0</v>
      </c>
      <c r="P153" s="392">
        <f>+ROUND(P85,0)+ROUND(P86,0)</f>
        <v>0</v>
      </c>
      <c r="Q153" s="10"/>
      <c r="R153" s="210"/>
      <c r="S153" s="210"/>
      <c r="T153" s="210"/>
      <c r="U153" s="10"/>
      <c r="AB153" s="4"/>
    </row>
    <row r="154" spans="1:28" s="3" customFormat="1" ht="16.5" thickBot="1">
      <c r="A154" s="10"/>
      <c r="B154" s="467" t="s">
        <v>276</v>
      </c>
      <c r="C154" s="468"/>
      <c r="D154" s="469"/>
      <c r="F154" s="480">
        <f>SUM(+ROUND(F85,0)+ROUND(F103,0)+ROUND(F122,0)+ROUND(F129,0)+ROUND(F131,0)+ROUND(F132,0))-ROUND(F133,0)</f>
        <v>0</v>
      </c>
      <c r="G154" s="481">
        <f>SUM(+ROUND(G85,0)+ROUND(G103,0)+ROUND(G122,0)+ROUND(G129,0)+ROUND(G131,0)+ROUND(G132,0))-ROUND(G133,0)</f>
        <v>0</v>
      </c>
      <c r="I154" s="476">
        <f>SUM(+ROUND(I85,0)+ROUND(I103,0)+ROUND(I122,0)+ROUND(I129,0)+ROUND(I131,0)+ROUND(I132,0))-ROUND(I133,0)</f>
        <v>0</v>
      </c>
      <c r="J154" s="477">
        <f>SUM(+ROUND(J85,0)+ROUND(J103,0)+ROUND(J122,0)+ROUND(J129,0)+ROUND(J131,0)+ROUND(J132,0))-ROUND(J133,0)</f>
        <v>0</v>
      </c>
      <c r="K154" s="88"/>
      <c r="L154" s="472">
        <f>SUM(+ROUND(L85,0)+ROUND(L103,0)+ROUND(L122,0)+ROUND(L129,0)+ROUND(L131,0)+ROUND(L132,0))-ROUND(L133,0)</f>
        <v>0</v>
      </c>
      <c r="M154" s="473">
        <f>SUM(+ROUND(M85,0)+ROUND(M103,0)+ROUND(M122,0)+ROUND(M129,0)+ROUND(M131,0)+ROUND(M132,0))-ROUND(M133,0)</f>
        <v>0</v>
      </c>
      <c r="N154" s="89"/>
      <c r="O154" s="391">
        <f>SUM(+ROUND(O85,0)+ROUND(O103,0)+ROUND(O122,0)+ROUND(O129,0)+ROUND(O131,0)+ROUND(O132,0))-ROUND(O133,0)</f>
        <v>0</v>
      </c>
      <c r="P154" s="393">
        <f>SUM(+ROUND(P85,0)+ROUND(P103,0)+ROUND(P122,0)+ROUND(P129,0)+ROUND(P131,0)+ROUND(P132,0))-ROUND(P133,0)</f>
        <v>0</v>
      </c>
      <c r="Q154" s="10"/>
      <c r="R154" s="210"/>
      <c r="S154" s="210"/>
      <c r="T154" s="21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0"/>
      <c r="S155" s="210"/>
      <c r="T155" s="21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0"/>
      <c r="S156" s="210"/>
      <c r="T156" s="21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0"/>
      <c r="S157" s="210"/>
      <c r="T157" s="210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0"/>
      <c r="S158" s="210"/>
      <c r="T158" s="210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41" t="s">
        <v>326</v>
      </c>
      <c r="G159" s="542" t="s">
        <v>326</v>
      </c>
      <c r="I159" s="544" t="s">
        <v>323</v>
      </c>
      <c r="J159" s="546" t="s">
        <v>323</v>
      </c>
      <c r="K159" s="11"/>
      <c r="L159" s="547" t="s">
        <v>324</v>
      </c>
      <c r="M159" s="548" t="s">
        <v>324</v>
      </c>
      <c r="N159" s="11"/>
      <c r="O159" s="560" t="s">
        <v>325</v>
      </c>
      <c r="P159" s="561" t="s">
        <v>325</v>
      </c>
      <c r="Q159" s="10"/>
      <c r="R159" s="210"/>
      <c r="S159" s="210"/>
      <c r="T159" s="210"/>
      <c r="U159" s="10"/>
      <c r="AB159" s="4"/>
    </row>
    <row r="160" spans="1:28" s="3" customFormat="1" ht="15.75">
      <c r="A160" s="10"/>
      <c r="B160" s="538" t="s">
        <v>331</v>
      </c>
      <c r="C160" s="539"/>
      <c r="D160" s="540"/>
      <c r="F160" s="552">
        <f>+F133+F139</f>
        <v>0</v>
      </c>
      <c r="G160" s="553">
        <f>+G133+G139</f>
        <v>0</v>
      </c>
      <c r="I160" s="552">
        <f>+I133+I139</f>
        <v>0</v>
      </c>
      <c r="J160" s="553">
        <f>+J133+J139</f>
        <v>0</v>
      </c>
      <c r="K160" s="215"/>
      <c r="L160" s="552">
        <f>+L133+L139</f>
        <v>0</v>
      </c>
      <c r="M160" s="553">
        <f>+M133+M139</f>
        <v>0</v>
      </c>
      <c r="N160" s="215"/>
      <c r="O160" s="556">
        <f>+ROUND(+F160+I160+L160,0)</f>
        <v>0</v>
      </c>
      <c r="P160" s="557">
        <f>+ROUND(+G160+J160+M160,0)</f>
        <v>0</v>
      </c>
      <c r="Q160" s="10"/>
      <c r="R160" s="210"/>
      <c r="S160" s="210"/>
      <c r="T160" s="210"/>
      <c r="U160" s="10"/>
      <c r="AB160" s="4"/>
    </row>
    <row r="161" spans="2:28" s="3" customFormat="1" ht="15.75">
      <c r="B161" s="551" t="s">
        <v>327</v>
      </c>
      <c r="C161" s="682">
        <f>+'Cash-Flow-2020-Leva'!P5</f>
        <v>2020</v>
      </c>
      <c r="D161" s="683"/>
      <c r="F161" s="549"/>
      <c r="G161" s="550"/>
      <c r="I161" s="549"/>
      <c r="J161" s="550"/>
      <c r="K161" s="215"/>
      <c r="L161" s="549"/>
      <c r="M161" s="550"/>
      <c r="N161" s="215"/>
      <c r="O161" s="558">
        <f>+ROUND(+F161+I161+L161,0)</f>
        <v>0</v>
      </c>
      <c r="P161" s="559">
        <f>+ROUND(+G161+J161+M161,0)</f>
        <v>0</v>
      </c>
      <c r="Q161" s="10"/>
      <c r="R161" s="210"/>
      <c r="S161" s="210"/>
      <c r="T161" s="210"/>
      <c r="U161" s="10"/>
      <c r="AB161" s="4"/>
    </row>
    <row r="162" spans="2:28" s="3" customFormat="1" ht="15.75" customHeight="1" thickBot="1">
      <c r="B162" s="10"/>
      <c r="C162" s="10"/>
      <c r="D162" s="10"/>
      <c r="F162" s="580" t="str">
        <f>+F11</f>
        <v>31.12.2020 г.</v>
      </c>
      <c r="G162" s="543">
        <f>+G11</f>
        <v>2019</v>
      </c>
      <c r="I162" s="581" t="str">
        <f>+I11</f>
        <v>31.12.2020 г.</v>
      </c>
      <c r="J162" s="545">
        <f>+J11</f>
        <v>2019</v>
      </c>
      <c r="K162" s="11"/>
      <c r="L162" s="582" t="str">
        <f>+L11</f>
        <v>31.12.2020 г.</v>
      </c>
      <c r="M162" s="548">
        <f>+M11</f>
        <v>2019</v>
      </c>
      <c r="N162" s="11"/>
      <c r="O162" s="583" t="str">
        <f>+O11</f>
        <v>31.12.2020 г.</v>
      </c>
      <c r="P162" s="562">
        <f>+P11</f>
        <v>2019</v>
      </c>
      <c r="Q162" s="10"/>
      <c r="R162" s="210"/>
      <c r="S162" s="210"/>
      <c r="T162" s="210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B163" s="4"/>
    </row>
    <row r="164" spans="1:27" s="3" customFormat="1" ht="18" customHeight="1">
      <c r="A164" s="10"/>
      <c r="B164" s="554" t="s">
        <v>328</v>
      </c>
      <c r="C164" s="179"/>
      <c r="D164" s="104"/>
      <c r="E164" s="10"/>
      <c r="F164" s="101">
        <f>+F160-F161</f>
        <v>0</v>
      </c>
      <c r="G164" s="100">
        <f>+G160-G161</f>
        <v>0</v>
      </c>
      <c r="H164" s="10"/>
      <c r="I164" s="101">
        <f>+I160-I161</f>
        <v>0</v>
      </c>
      <c r="J164" s="100">
        <f>+J160-J161</f>
        <v>0</v>
      </c>
      <c r="K164" s="10"/>
      <c r="L164" s="101">
        <f>+L160-L161</f>
        <v>0</v>
      </c>
      <c r="M164" s="100">
        <f>+M160-M161</f>
        <v>0</v>
      </c>
      <c r="N164" s="10"/>
      <c r="O164" s="486">
        <f>+O160-O161</f>
        <v>0</v>
      </c>
      <c r="P164" s="487">
        <f>+P160-P161</f>
        <v>0</v>
      </c>
      <c r="Q164" s="10"/>
      <c r="R164" s="210"/>
      <c r="S164" s="210"/>
      <c r="T164" s="210"/>
      <c r="U164" s="10"/>
      <c r="AA164" s="4"/>
    </row>
    <row r="165" spans="1:27" s="3" customFormat="1" ht="18" customHeight="1" thickBot="1">
      <c r="A165" s="10"/>
      <c r="B165" s="555" t="s">
        <v>332</v>
      </c>
      <c r="C165" s="175"/>
      <c r="D165" s="105"/>
      <c r="E165" s="10"/>
      <c r="F165" s="335"/>
      <c r="G165" s="102"/>
      <c r="H165" s="10"/>
      <c r="I165" s="335"/>
      <c r="J165" s="102"/>
      <c r="K165" s="10"/>
      <c r="L165" s="335"/>
      <c r="M165" s="102"/>
      <c r="N165" s="10"/>
      <c r="O165" s="488"/>
      <c r="P165" s="489"/>
      <c r="Q165" s="10"/>
      <c r="R165" s="210"/>
      <c r="S165" s="210"/>
      <c r="T165" s="210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B166" s="4"/>
    </row>
    <row r="167" spans="1:28" s="3" customFormat="1" ht="15.75">
      <c r="A167" s="10"/>
      <c r="B167" s="467" t="s">
        <v>329</v>
      </c>
      <c r="C167" s="468"/>
      <c r="D167" s="469"/>
      <c r="F167" s="478" t="str">
        <f>+IF(+ROUND(F168,0)=0,"O K","НЕРАВНЕНИЕ!")</f>
        <v>O K</v>
      </c>
      <c r="G167" s="479" t="str">
        <f>+IF(+ROUND(G168,0)=0,"O K","НЕРАВНЕНИЕ!")</f>
        <v>O K</v>
      </c>
      <c r="I167" s="474" t="str">
        <f>+IF(+ROUND(I168,0)=0,"O K","НЕРАВНЕНИЕ!")</f>
        <v>O K</v>
      </c>
      <c r="J167" s="475" t="str">
        <f>+IF(+ROUND(J168,0)=0,"O K","НЕРАВНЕНИЕ!")</f>
        <v>O K</v>
      </c>
      <c r="K167" s="88"/>
      <c r="L167" s="470" t="str">
        <f>+IF(+ROUND(L168,0)=0,"O K","НЕРАВНЕНИЕ!")</f>
        <v>O K</v>
      </c>
      <c r="M167" s="471" t="str">
        <f>+IF(+ROUND(M168,0)=0,"O K","НЕРАВНЕНИЕ!")</f>
        <v>O K</v>
      </c>
      <c r="N167" s="89"/>
      <c r="O167" s="563" t="str">
        <f>+IF(+ROUND(O168,0)=0,"O K","НЕРАВНЕНИЕ!")</f>
        <v>O K</v>
      </c>
      <c r="P167" s="392" t="str">
        <f>+IF(+ROUND(P168,0)=0,"O K","НЕРАВНЕНИЕ!")</f>
        <v>O K</v>
      </c>
      <c r="Q167" s="10"/>
      <c r="R167" s="210"/>
      <c r="S167" s="210"/>
      <c r="T167" s="210"/>
      <c r="U167" s="10"/>
      <c r="AB167" s="4"/>
    </row>
    <row r="168" spans="1:28" s="3" customFormat="1" ht="16.5" thickBot="1">
      <c r="A168" s="10"/>
      <c r="B168" s="467" t="s">
        <v>330</v>
      </c>
      <c r="C168" s="468"/>
      <c r="D168" s="469"/>
      <c r="F168" s="480">
        <f>+F164+F165</f>
        <v>0</v>
      </c>
      <c r="G168" s="481">
        <f>+G164+G165</f>
        <v>0</v>
      </c>
      <c r="I168" s="476">
        <f>+I164+I165</f>
        <v>0</v>
      </c>
      <c r="J168" s="477">
        <f>+J164+J165</f>
        <v>0</v>
      </c>
      <c r="K168" s="88"/>
      <c r="L168" s="472">
        <f>+L164+L165</f>
        <v>0</v>
      </c>
      <c r="M168" s="473">
        <f>+M164+M165</f>
        <v>0</v>
      </c>
      <c r="N168" s="89"/>
      <c r="O168" s="485">
        <f>+O164+O165</f>
        <v>0</v>
      </c>
      <c r="P168" s="393">
        <f>+P164+P165</f>
        <v>0</v>
      </c>
      <c r="Q168" s="10"/>
      <c r="R168" s="210"/>
      <c r="S168" s="210"/>
      <c r="T168" s="21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B169" s="4"/>
    </row>
    <row r="170" spans="1:28" s="3" customFormat="1" ht="12.75">
      <c r="A170" s="10"/>
      <c r="B170" s="10"/>
      <c r="C170" s="10"/>
      <c r="D170" s="10"/>
      <c r="F170" s="798">
        <f>+IF(F171&gt;0,"БЮДЖЕТ",0)</f>
        <v>0</v>
      </c>
      <c r="G170" s="798"/>
      <c r="I170" s="798">
        <f>+IF(I171&gt;0,"СЕС",0)</f>
        <v>0</v>
      </c>
      <c r="J170" s="798"/>
      <c r="K170" s="11"/>
      <c r="L170" s="798">
        <f>+IF(L171&gt;0,"ДСД",0)</f>
        <v>0</v>
      </c>
      <c r="M170" s="798"/>
      <c r="N170" s="11"/>
      <c r="O170" s="798">
        <f>+IF(O171&gt;0,"Общо (Б-т + СЕС + ДСД)",0)</f>
        <v>0</v>
      </c>
      <c r="P170" s="798"/>
      <c r="Q170" s="10"/>
      <c r="R170" s="210"/>
      <c r="S170" s="210"/>
      <c r="T170" s="210"/>
      <c r="U170" s="10"/>
      <c r="AB170" s="4"/>
    </row>
    <row r="171" spans="1:28" s="3" customFormat="1" ht="12.75">
      <c r="A171" s="10"/>
      <c r="B171" s="10"/>
      <c r="C171" s="10"/>
      <c r="D171" s="10"/>
      <c r="F171" s="798">
        <f>+COUNTIF(F168:G168,"&lt;&gt;0")</f>
        <v>0</v>
      </c>
      <c r="G171" s="798"/>
      <c r="I171" s="798">
        <f>+COUNTIF(I168:J168,"&lt;&gt;0")</f>
        <v>0</v>
      </c>
      <c r="J171" s="798"/>
      <c r="K171" s="11"/>
      <c r="L171" s="798">
        <f>+COUNTIF(L168:M168,"&lt;&gt;0")</f>
        <v>0</v>
      </c>
      <c r="M171" s="798"/>
      <c r="N171" s="11"/>
      <c r="O171" s="798">
        <f>+COUNTIF(O168:P168,"&lt;&gt;0")</f>
        <v>0</v>
      </c>
      <c r="P171" s="798"/>
      <c r="Q171" s="10"/>
      <c r="R171" s="210"/>
      <c r="S171" s="210"/>
      <c r="T171" s="21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10"/>
      <c r="S172" s="210"/>
      <c r="T172" s="21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7">
        <f>+IF(O174&gt;0,"ВСИЧКО: Б-т + СЕС + ДСД + Общо",0)</f>
        <v>0</v>
      </c>
      <c r="P173" s="797"/>
      <c r="Q173" s="10"/>
      <c r="R173" s="210"/>
      <c r="S173" s="210"/>
      <c r="T173" s="21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7">
        <f>+SUM(F171:P171)</f>
        <v>0</v>
      </c>
      <c r="P174" s="797"/>
      <c r="Q174" s="10"/>
      <c r="R174" s="210"/>
      <c r="S174" s="210"/>
      <c r="T174" s="21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2"/>
      <c r="S197" s="212"/>
      <c r="T197" s="21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2"/>
      <c r="S198" s="212"/>
      <c r="T198" s="21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6 K118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3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13" customWidth="1"/>
    <col min="19" max="20" width="12.7109375" style="21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13" customFormat="1" ht="16.5" customHeight="1">
      <c r="A1" s="6"/>
      <c r="B1" s="799" t="str">
        <f>+'Cash-Flow-2020-Leva'!B1:F1</f>
        <v>Община Никопол</v>
      </c>
      <c r="C1" s="800"/>
      <c r="D1" s="800"/>
      <c r="E1" s="800"/>
      <c r="F1" s="801"/>
      <c r="G1" s="426" t="s">
        <v>244</v>
      </c>
      <c r="H1" s="109"/>
      <c r="I1" s="802">
        <f>+'Cash-Flow-2020-Leva'!I1:J1</f>
        <v>413885</v>
      </c>
      <c r="J1" s="803"/>
      <c r="K1" s="427"/>
      <c r="L1" s="428" t="s">
        <v>245</v>
      </c>
      <c r="M1" s="429">
        <f>+'Cash-Flow-2020-Leva'!M1</f>
        <v>6507</v>
      </c>
      <c r="N1" s="427"/>
      <c r="O1" s="428" t="s">
        <v>239</v>
      </c>
      <c r="P1" s="439" t="str">
        <f>+'Cash-Flow-2020-Leva'!P1</f>
        <v>O65412519</v>
      </c>
      <c r="Q1" s="432"/>
      <c r="R1" s="436" t="s">
        <v>233</v>
      </c>
      <c r="S1" s="804">
        <f>+'Cash-Flow-2020-Leva'!$S$1</f>
        <v>0</v>
      </c>
      <c r="T1" s="805"/>
      <c r="U1" s="43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13" customFormat="1" ht="14.25" customHeight="1">
      <c r="A2" s="6"/>
      <c r="B2" s="806" t="s">
        <v>249</v>
      </c>
      <c r="C2" s="807"/>
      <c r="D2" s="807"/>
      <c r="E2" s="807"/>
      <c r="F2" s="808"/>
      <c r="G2" s="109"/>
      <c r="H2" s="109"/>
      <c r="I2" s="430"/>
      <c r="J2" s="427"/>
      <c r="K2" s="430"/>
      <c r="L2" s="430"/>
      <c r="M2" s="427"/>
      <c r="N2" s="431"/>
      <c r="O2" s="432"/>
      <c r="P2" s="432"/>
      <c r="Q2" s="432"/>
      <c r="R2" s="432"/>
      <c r="S2" s="432"/>
      <c r="T2" s="432"/>
      <c r="U2" s="43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13" customFormat="1" ht="19.5" customHeight="1">
      <c r="A3" s="6"/>
      <c r="B3" s="809" t="str">
        <f>+'Cash-Flow-2020-Leva'!B3:F3</f>
        <v>[Седалище и адрес]</v>
      </c>
      <c r="C3" s="810"/>
      <c r="D3" s="810"/>
      <c r="E3" s="810"/>
      <c r="F3" s="811"/>
      <c r="G3" s="433" t="s">
        <v>238</v>
      </c>
      <c r="H3" s="812" t="str">
        <f>+'Cash-Flow-2020-Leva'!H3</f>
        <v>nikopol-bg.com</v>
      </c>
      <c r="I3" s="813"/>
      <c r="J3" s="813"/>
      <c r="K3" s="814"/>
      <c r="L3" s="51" t="s">
        <v>246</v>
      </c>
      <c r="M3" s="815" t="str">
        <f>+'Cash-Flow-2020-Leva'!M3:P3</f>
        <v>s.stefanov@abv.bg</v>
      </c>
      <c r="N3" s="816"/>
      <c r="O3" s="816"/>
      <c r="P3" s="817"/>
      <c r="Q3" s="432"/>
      <c r="R3" s="432"/>
      <c r="S3" s="432"/>
      <c r="T3" s="432"/>
      <c r="U3" s="43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83"/>
      <c r="S4" s="283"/>
      <c r="T4" s="283"/>
      <c r="U4" s="6"/>
    </row>
    <row r="5" spans="1:21" s="12" customFormat="1" ht="18.75" customHeight="1">
      <c r="A5" s="6"/>
      <c r="B5" s="684">
        <f>+'Cash-Flow-2020-Leva'!B5</f>
        <v>0</v>
      </c>
      <c r="C5" s="684"/>
      <c r="D5" s="819" t="s">
        <v>243</v>
      </c>
      <c r="E5" s="819"/>
      <c r="F5" s="819"/>
      <c r="G5" s="819"/>
      <c r="H5" s="819"/>
      <c r="I5" s="819"/>
      <c r="J5" s="819"/>
      <c r="K5" s="819"/>
      <c r="L5" s="819"/>
      <c r="M5" s="39"/>
      <c r="N5" s="39"/>
      <c r="O5" s="53" t="s">
        <v>17</v>
      </c>
      <c r="P5" s="437">
        <f>+'Cash-Flow-2020-Leva'!P5</f>
        <v>2020</v>
      </c>
      <c r="Q5" s="39"/>
      <c r="R5" s="818" t="s">
        <v>180</v>
      </c>
      <c r="S5" s="818"/>
      <c r="T5" s="818"/>
      <c r="U5" s="6"/>
    </row>
    <row r="6" spans="1:28" s="3" customFormat="1" ht="17.25" customHeight="1">
      <c r="A6" s="6"/>
      <c r="B6" s="827">
        <f>+'Cash-Flow-2020-Leva'!B6</f>
        <v>0</v>
      </c>
      <c r="C6" s="827"/>
      <c r="D6" s="819" t="s">
        <v>242</v>
      </c>
      <c r="E6" s="819"/>
      <c r="F6" s="819"/>
      <c r="G6" s="819"/>
      <c r="H6" s="819"/>
      <c r="I6" s="819"/>
      <c r="J6" s="819"/>
      <c r="K6" s="819"/>
      <c r="L6" s="819"/>
      <c r="M6" s="42"/>
      <c r="N6" s="5"/>
      <c r="O6" s="6"/>
      <c r="P6" s="6"/>
      <c r="Q6" s="1"/>
      <c r="R6" s="820">
        <f>+P4</f>
        <v>0</v>
      </c>
      <c r="S6" s="820"/>
      <c r="T6" s="820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07"/>
      <c r="S7" s="207"/>
      <c r="T7" s="207"/>
      <c r="U7" s="6"/>
    </row>
    <row r="8" spans="1:28" s="3" customFormat="1" ht="17.25" customHeight="1">
      <c r="A8" s="6"/>
      <c r="B8" s="52"/>
      <c r="C8" s="52" t="s">
        <v>241</v>
      </c>
      <c r="D8" s="821" t="str">
        <f>+B1</f>
        <v>Община Никопол</v>
      </c>
      <c r="E8" s="821"/>
      <c r="F8" s="821"/>
      <c r="G8" s="821"/>
      <c r="H8" s="821"/>
      <c r="I8" s="821"/>
      <c r="J8" s="821"/>
      <c r="K8" s="821"/>
      <c r="L8" s="821"/>
      <c r="M8" s="434" t="s">
        <v>247</v>
      </c>
      <c r="N8" s="5"/>
      <c r="O8" s="584" t="str">
        <f>+'Cash-Flow-2020-Leva'!O8</f>
        <v>31.12.2020 г.</v>
      </c>
      <c r="P8" s="435" t="s">
        <v>8</v>
      </c>
      <c r="Q8" s="1"/>
      <c r="R8" s="822">
        <f>+P5</f>
        <v>2020</v>
      </c>
      <c r="S8" s="823"/>
      <c r="T8" s="824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07"/>
      <c r="D9" s="10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33"/>
      <c r="S9" s="333"/>
      <c r="T9" s="333"/>
      <c r="U9" s="33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18"/>
      <c r="C10" s="119"/>
      <c r="D10" s="120"/>
      <c r="E10" s="5"/>
      <c r="F10" s="78" t="str">
        <f>+'Cash-Flow-2020-Leva'!F10</f>
        <v>БЮДЖЕТ -ОТЧЕТ  </v>
      </c>
      <c r="G10" s="86" t="str">
        <f>+'Cash-Flow-2020-Leva'!G10</f>
        <v>БЮДЖЕТ -ОТЧЕТ  </v>
      </c>
      <c r="H10" s="5"/>
      <c r="I10" s="90" t="s">
        <v>41</v>
      </c>
      <c r="J10" s="106" t="str">
        <f>+'Cash-Flow-2020-Leva'!J10</f>
        <v>Сметки за сред-ства от Евро-пейския съюз - ОТЧЕТ</v>
      </c>
      <c r="K10" s="5"/>
      <c r="L10" s="424" t="s">
        <v>42</v>
      </c>
      <c r="M10" s="338" t="str">
        <f>+'Cash-Flow-2020-Leva'!M10</f>
        <v>Сметки за чуж-ди средства - ОТЧЕТ                </v>
      </c>
      <c r="N10" s="450"/>
      <c r="O10" s="453" t="s">
        <v>43</v>
      </c>
      <c r="P10" s="341" t="str">
        <f>+'Cash-Flow-2020-Leva'!P10</f>
        <v>ОБЩО КАСОВ ОТЧЕТ  </v>
      </c>
      <c r="Q10" s="398"/>
      <c r="R10" s="210"/>
      <c r="S10" s="210"/>
      <c r="T10" s="210"/>
      <c r="U10" s="21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23" t="s">
        <v>127</v>
      </c>
      <c r="C11" s="121"/>
      <c r="D11" s="122"/>
      <c r="E11" s="5"/>
      <c r="F11" s="575" t="str">
        <f>+'Cash-Flow-2020-Leva'!F11</f>
        <v>31.12.2020 г.</v>
      </c>
      <c r="G11" s="384">
        <f>+'Cash-Flow-2020-Leva'!G11</f>
        <v>2019</v>
      </c>
      <c r="H11" s="5"/>
      <c r="I11" s="576" t="str">
        <f>+O8</f>
        <v>31.12.2020 г.</v>
      </c>
      <c r="J11" s="385">
        <f>+'Cash-Flow-2020-Leva'!J11</f>
        <v>2019</v>
      </c>
      <c r="K11" s="5"/>
      <c r="L11" s="577" t="str">
        <f>+O8</f>
        <v>31.12.2020 г.</v>
      </c>
      <c r="M11" s="386">
        <f>+'Cash-Flow-2020-Leva'!M11</f>
        <v>2019</v>
      </c>
      <c r="N11" s="450"/>
      <c r="O11" s="578" t="str">
        <f>+O8</f>
        <v>31.12.2020 г.</v>
      </c>
      <c r="P11" s="387">
        <f>+'Cash-Flow-2020-Leva'!P11</f>
        <v>2019</v>
      </c>
      <c r="Q11" s="399"/>
      <c r="R11" s="210"/>
      <c r="S11" s="210"/>
      <c r="T11" s="210"/>
      <c r="U11" s="21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46" t="s">
        <v>128</v>
      </c>
      <c r="C12" s="447"/>
      <c r="D12" s="448"/>
      <c r="E12" s="5"/>
      <c r="F12" s="7" t="s">
        <v>1</v>
      </c>
      <c r="G12" s="85" t="s">
        <v>2</v>
      </c>
      <c r="H12" s="5"/>
      <c r="I12" s="7" t="s">
        <v>3</v>
      </c>
      <c r="J12" s="85" t="s">
        <v>4</v>
      </c>
      <c r="K12" s="5"/>
      <c r="L12" s="7" t="s">
        <v>5</v>
      </c>
      <c r="M12" s="85" t="s">
        <v>235</v>
      </c>
      <c r="N12" s="450"/>
      <c r="O12" s="342" t="str">
        <f>+'Cash-Flow-2020-Leva'!O12</f>
        <v>(7)=(1)+(3)+(5)</v>
      </c>
      <c r="P12" s="343" t="str">
        <f>+'Cash-Flow-2020-Leva'!P12</f>
        <v>(8)=(2)+(4)+(6)</v>
      </c>
      <c r="Q12" s="6"/>
      <c r="R12" s="210"/>
      <c r="S12" s="210"/>
      <c r="T12" s="210"/>
      <c r="U12" s="21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96"/>
      <c r="B13" s="182" t="s">
        <v>48</v>
      </c>
      <c r="C13" s="124"/>
      <c r="D13" s="125"/>
      <c r="E13" s="265"/>
      <c r="F13" s="214"/>
      <c r="G13" s="214"/>
      <c r="H13" s="265"/>
      <c r="I13" s="214"/>
      <c r="J13" s="214"/>
      <c r="K13" s="265"/>
      <c r="L13" s="214"/>
      <c r="M13" s="214"/>
      <c r="N13" s="451"/>
      <c r="O13" s="344"/>
      <c r="P13" s="345"/>
      <c r="Q13" s="50"/>
      <c r="R13" s="210"/>
      <c r="S13" s="210"/>
      <c r="T13" s="210"/>
      <c r="U13" s="21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96"/>
      <c r="B14" s="184" t="s">
        <v>69</v>
      </c>
      <c r="C14" s="109"/>
      <c r="D14" s="113"/>
      <c r="E14" s="265"/>
      <c r="F14" s="216"/>
      <c r="G14" s="216"/>
      <c r="H14" s="265"/>
      <c r="I14" s="216"/>
      <c r="J14" s="216"/>
      <c r="K14" s="265"/>
      <c r="L14" s="216"/>
      <c r="M14" s="216"/>
      <c r="N14" s="451"/>
      <c r="O14" s="346"/>
      <c r="P14" s="347"/>
      <c r="Q14" s="50"/>
      <c r="R14" s="210"/>
      <c r="S14" s="210"/>
      <c r="T14" s="210"/>
      <c r="U14" s="21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96"/>
      <c r="B15" s="185" t="s">
        <v>49</v>
      </c>
      <c r="C15" s="144"/>
      <c r="D15" s="145"/>
      <c r="E15" s="265"/>
      <c r="F15" s="244">
        <f>+'Cash-Flow-2020-Leva'!F15/1000</f>
        <v>512.125</v>
      </c>
      <c r="G15" s="243">
        <f>+'Cash-Flow-2020-Leva'!G15/1000</f>
        <v>596.262</v>
      </c>
      <c r="H15" s="265"/>
      <c r="I15" s="244">
        <f>+'Cash-Flow-2020-Leva'!I15/1000</f>
        <v>0</v>
      </c>
      <c r="J15" s="243">
        <f>+'Cash-Flow-2020-Leva'!J15/1000</f>
        <v>0</v>
      </c>
      <c r="K15" s="265"/>
      <c r="L15" s="244">
        <f>+'Cash-Flow-2020-Leva'!L15/1000</f>
        <v>0</v>
      </c>
      <c r="M15" s="243">
        <f>+'Cash-Flow-2020-Leva'!M15/1000</f>
        <v>0</v>
      </c>
      <c r="N15" s="451"/>
      <c r="O15" s="353">
        <f aca="true" t="shared" si="0" ref="O15:O24">+F15+I15+L15</f>
        <v>512.125</v>
      </c>
      <c r="P15" s="366">
        <f aca="true" t="shared" si="1" ref="P15:P24">+G15+J15+M15</f>
        <v>596.262</v>
      </c>
      <c r="Q15" s="50"/>
      <c r="R15" s="210"/>
      <c r="S15" s="210"/>
      <c r="T15" s="210"/>
      <c r="U15" s="21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96"/>
      <c r="B16" s="199" t="s">
        <v>283</v>
      </c>
      <c r="C16" s="140"/>
      <c r="D16" s="141"/>
      <c r="E16" s="265"/>
      <c r="F16" s="256">
        <f>+'Cash-Flow-2020-Leva'!F16/1000</f>
        <v>407.122</v>
      </c>
      <c r="G16" s="255">
        <f>+'Cash-Flow-2020-Leva'!G16/1000</f>
        <v>435.469</v>
      </c>
      <c r="H16" s="265"/>
      <c r="I16" s="256">
        <f>+'Cash-Flow-2020-Leva'!I16/1000</f>
        <v>0</v>
      </c>
      <c r="J16" s="255">
        <f>+'Cash-Flow-2020-Leva'!J16/1000</f>
        <v>0</v>
      </c>
      <c r="K16" s="265"/>
      <c r="L16" s="256">
        <f>+'Cash-Flow-2020-Leva'!L16/1000</f>
        <v>0</v>
      </c>
      <c r="M16" s="255">
        <f>+'Cash-Flow-2020-Leva'!M16/1000</f>
        <v>0</v>
      </c>
      <c r="N16" s="451"/>
      <c r="O16" s="349">
        <f t="shared" si="0"/>
        <v>407.122</v>
      </c>
      <c r="P16" s="372">
        <f t="shared" si="1"/>
        <v>435.469</v>
      </c>
      <c r="Q16" s="50"/>
      <c r="R16" s="210"/>
      <c r="S16" s="210"/>
      <c r="T16" s="210"/>
      <c r="U16" s="21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96"/>
      <c r="B17" s="194" t="s">
        <v>285</v>
      </c>
      <c r="C17" s="490"/>
      <c r="D17" s="491"/>
      <c r="E17" s="265"/>
      <c r="F17" s="499">
        <f>+'Cash-Flow-2020-Leva'!F17/1000</f>
        <v>0</v>
      </c>
      <c r="G17" s="500">
        <f>+'Cash-Flow-2020-Leva'!G17/1000</f>
        <v>0</v>
      </c>
      <c r="H17" s="265"/>
      <c r="I17" s="499">
        <f>+'Cash-Flow-2020-Leva'!I17/1000</f>
        <v>0</v>
      </c>
      <c r="J17" s="500">
        <f>+'Cash-Flow-2020-Leva'!J17/1000</f>
        <v>0</v>
      </c>
      <c r="K17" s="265"/>
      <c r="L17" s="499">
        <f>+'Cash-Flow-2020-Leva'!L17/1000</f>
        <v>0</v>
      </c>
      <c r="M17" s="500">
        <f>+'Cash-Flow-2020-Leva'!M17/1000</f>
        <v>0</v>
      </c>
      <c r="N17" s="451"/>
      <c r="O17" s="497">
        <f>+F17+I17+L17</f>
        <v>0</v>
      </c>
      <c r="P17" s="498">
        <f>+G17+J17+M17</f>
        <v>0</v>
      </c>
      <c r="Q17" s="50"/>
      <c r="R17" s="210"/>
      <c r="S17" s="210"/>
      <c r="T17" s="210"/>
      <c r="U17" s="21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96"/>
      <c r="B18" s="180" t="s">
        <v>83</v>
      </c>
      <c r="C18" s="140"/>
      <c r="D18" s="141"/>
      <c r="E18" s="265"/>
      <c r="F18" s="244">
        <f>+'Cash-Flow-2020-Leva'!F18/1000</f>
        <v>38.196</v>
      </c>
      <c r="G18" s="243">
        <f>+'Cash-Flow-2020-Leva'!G18/1000</f>
        <v>30.557</v>
      </c>
      <c r="H18" s="265"/>
      <c r="I18" s="244">
        <f>+'Cash-Flow-2020-Leva'!I18/1000</f>
        <v>0</v>
      </c>
      <c r="J18" s="243">
        <f>+'Cash-Flow-2020-Leva'!J18/1000</f>
        <v>0</v>
      </c>
      <c r="K18" s="265"/>
      <c r="L18" s="244">
        <f>+'Cash-Flow-2020-Leva'!L18/1000</f>
        <v>0</v>
      </c>
      <c r="M18" s="243">
        <f>+'Cash-Flow-2020-Leva'!M18/1000</f>
        <v>0</v>
      </c>
      <c r="N18" s="451"/>
      <c r="O18" s="353">
        <f t="shared" si="0"/>
        <v>38.196</v>
      </c>
      <c r="P18" s="366">
        <f t="shared" si="1"/>
        <v>30.557</v>
      </c>
      <c r="Q18" s="50"/>
      <c r="R18" s="210"/>
      <c r="S18" s="210"/>
      <c r="T18" s="210"/>
      <c r="U18" s="21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96"/>
      <c r="B19" s="180" t="s">
        <v>68</v>
      </c>
      <c r="C19" s="140"/>
      <c r="D19" s="141"/>
      <c r="E19" s="265"/>
      <c r="F19" s="267">
        <f>+'Cash-Flow-2020-Leva'!F19/1000</f>
        <v>86.07</v>
      </c>
      <c r="G19" s="266">
        <f>+'Cash-Flow-2020-Leva'!G19/1000</f>
        <v>36.9</v>
      </c>
      <c r="H19" s="265"/>
      <c r="I19" s="267">
        <f>+'Cash-Flow-2020-Leva'!I19/1000</f>
        <v>0</v>
      </c>
      <c r="J19" s="266">
        <f>+'Cash-Flow-2020-Leva'!J19/1000</f>
        <v>0</v>
      </c>
      <c r="K19" s="265"/>
      <c r="L19" s="267">
        <f>+'Cash-Flow-2020-Leva'!L19/1000</f>
        <v>0</v>
      </c>
      <c r="M19" s="266">
        <f>+'Cash-Flow-2020-Leva'!M19/1000</f>
        <v>0</v>
      </c>
      <c r="N19" s="451"/>
      <c r="O19" s="348">
        <f t="shared" si="0"/>
        <v>86.07</v>
      </c>
      <c r="P19" s="400">
        <f t="shared" si="1"/>
        <v>36.9</v>
      </c>
      <c r="Q19" s="50"/>
      <c r="R19" s="210"/>
      <c r="S19" s="210"/>
      <c r="T19" s="210"/>
      <c r="U19" s="21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96"/>
      <c r="B20" s="180" t="s">
        <v>50</v>
      </c>
      <c r="C20" s="140"/>
      <c r="D20" s="141"/>
      <c r="E20" s="265"/>
      <c r="F20" s="267">
        <f>+'Cash-Flow-2020-Leva'!F20/1000</f>
        <v>729.598</v>
      </c>
      <c r="G20" s="266">
        <f>+'Cash-Flow-2020-Leva'!G20/1000</f>
        <v>648.648</v>
      </c>
      <c r="H20" s="265"/>
      <c r="I20" s="267">
        <f>+'Cash-Flow-2020-Leva'!I20/1000</f>
        <v>0</v>
      </c>
      <c r="J20" s="266">
        <f>+'Cash-Flow-2020-Leva'!J20/1000</f>
        <v>0</v>
      </c>
      <c r="K20" s="265"/>
      <c r="L20" s="267">
        <f>+'Cash-Flow-2020-Leva'!L20/1000</f>
        <v>0</v>
      </c>
      <c r="M20" s="266">
        <f>+'Cash-Flow-2020-Leva'!M20/1000</f>
        <v>0</v>
      </c>
      <c r="N20" s="451"/>
      <c r="O20" s="348">
        <f t="shared" si="0"/>
        <v>729.598</v>
      </c>
      <c r="P20" s="400">
        <f t="shared" si="1"/>
        <v>648.648</v>
      </c>
      <c r="Q20" s="50"/>
      <c r="R20" s="210"/>
      <c r="S20" s="210"/>
      <c r="T20" s="210"/>
      <c r="U20" s="21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96"/>
      <c r="B21" s="180" t="s">
        <v>148</v>
      </c>
      <c r="C21" s="140"/>
      <c r="D21" s="141"/>
      <c r="E21" s="265"/>
      <c r="F21" s="267">
        <f>+'Cash-Flow-2020-Leva'!F21/1000</f>
        <v>0</v>
      </c>
      <c r="G21" s="266">
        <f>+'Cash-Flow-2020-Leva'!G21/1000</f>
        <v>0</v>
      </c>
      <c r="H21" s="265"/>
      <c r="I21" s="267">
        <f>+'Cash-Flow-2020-Leva'!I21/1000</f>
        <v>0</v>
      </c>
      <c r="J21" s="266">
        <f>+'Cash-Flow-2020-Leva'!J21/1000</f>
        <v>0</v>
      </c>
      <c r="K21" s="265"/>
      <c r="L21" s="267">
        <f>+'Cash-Flow-2020-Leva'!L21/1000</f>
        <v>0</v>
      </c>
      <c r="M21" s="266">
        <f>+'Cash-Flow-2020-Leva'!M21/1000</f>
        <v>0</v>
      </c>
      <c r="N21" s="451"/>
      <c r="O21" s="348">
        <f t="shared" si="0"/>
        <v>0</v>
      </c>
      <c r="P21" s="400">
        <f t="shared" si="1"/>
        <v>0</v>
      </c>
      <c r="Q21" s="50"/>
      <c r="R21" s="210"/>
      <c r="S21" s="210"/>
      <c r="T21" s="210"/>
      <c r="U21" s="21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96"/>
      <c r="B22" s="180" t="s">
        <v>51</v>
      </c>
      <c r="C22" s="140"/>
      <c r="D22" s="141"/>
      <c r="E22" s="265"/>
      <c r="F22" s="267">
        <f>+'Cash-Flow-2020-Leva'!F22/1000</f>
        <v>0</v>
      </c>
      <c r="G22" s="266">
        <f>+'Cash-Flow-2020-Leva'!G22/1000</f>
        <v>0</v>
      </c>
      <c r="H22" s="265"/>
      <c r="I22" s="267">
        <f>+'Cash-Flow-2020-Leva'!I22/1000</f>
        <v>0</v>
      </c>
      <c r="J22" s="266">
        <f>+'Cash-Flow-2020-Leva'!J22/1000</f>
        <v>0</v>
      </c>
      <c r="K22" s="265"/>
      <c r="L22" s="267">
        <f>+'Cash-Flow-2020-Leva'!L22/1000</f>
        <v>0</v>
      </c>
      <c r="M22" s="266">
        <f>+'Cash-Flow-2020-Leva'!M22/1000</f>
        <v>0</v>
      </c>
      <c r="N22" s="451"/>
      <c r="O22" s="348">
        <f t="shared" si="0"/>
        <v>0</v>
      </c>
      <c r="P22" s="400">
        <f t="shared" si="1"/>
        <v>0</v>
      </c>
      <c r="Q22" s="50"/>
      <c r="R22" s="210"/>
      <c r="S22" s="210"/>
      <c r="T22" s="210"/>
      <c r="U22" s="21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96"/>
      <c r="B23" s="180" t="s">
        <v>52</v>
      </c>
      <c r="C23" s="140"/>
      <c r="D23" s="141"/>
      <c r="E23" s="265"/>
      <c r="F23" s="267">
        <f>+'Cash-Flow-2020-Leva'!F23/1000</f>
        <v>0</v>
      </c>
      <c r="G23" s="266">
        <f>+'Cash-Flow-2020-Leva'!G23/1000</f>
        <v>0</v>
      </c>
      <c r="H23" s="265"/>
      <c r="I23" s="267">
        <f>+'Cash-Flow-2020-Leva'!I23/1000</f>
        <v>0</v>
      </c>
      <c r="J23" s="266">
        <f>+'Cash-Flow-2020-Leva'!J23/1000</f>
        <v>0</v>
      </c>
      <c r="K23" s="265"/>
      <c r="L23" s="267">
        <f>+'Cash-Flow-2020-Leva'!L23/1000</f>
        <v>0</v>
      </c>
      <c r="M23" s="266">
        <f>+'Cash-Flow-2020-Leva'!M23/1000</f>
        <v>0</v>
      </c>
      <c r="N23" s="451"/>
      <c r="O23" s="348">
        <f t="shared" si="0"/>
        <v>0</v>
      </c>
      <c r="P23" s="400">
        <f t="shared" si="1"/>
        <v>0</v>
      </c>
      <c r="Q23" s="50"/>
      <c r="R23" s="210"/>
      <c r="S23" s="210"/>
      <c r="T23" s="210"/>
      <c r="U23" s="21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96"/>
      <c r="B24" s="181" t="s">
        <v>74</v>
      </c>
      <c r="C24" s="142"/>
      <c r="D24" s="143"/>
      <c r="E24" s="265"/>
      <c r="F24" s="256">
        <f>+'Cash-Flow-2020-Leva'!F24/1000</f>
        <v>188.981</v>
      </c>
      <c r="G24" s="255">
        <f>+'Cash-Flow-2020-Leva'!G24/1000</f>
        <v>23.143</v>
      </c>
      <c r="H24" s="265"/>
      <c r="I24" s="256">
        <f>+'Cash-Flow-2020-Leva'!I24/1000</f>
        <v>0</v>
      </c>
      <c r="J24" s="255">
        <f>+'Cash-Flow-2020-Leva'!J24/1000</f>
        <v>0</v>
      </c>
      <c r="K24" s="265"/>
      <c r="L24" s="256">
        <f>+'Cash-Flow-2020-Leva'!L24/1000</f>
        <v>0</v>
      </c>
      <c r="M24" s="255">
        <f>+'Cash-Flow-2020-Leva'!M24/1000</f>
        <v>0</v>
      </c>
      <c r="N24" s="451"/>
      <c r="O24" s="349">
        <f t="shared" si="0"/>
        <v>188.981</v>
      </c>
      <c r="P24" s="372">
        <f t="shared" si="1"/>
        <v>23.143</v>
      </c>
      <c r="Q24" s="50"/>
      <c r="R24" s="210"/>
      <c r="S24" s="210"/>
      <c r="T24" s="210"/>
      <c r="U24" s="21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96"/>
      <c r="B25" s="132" t="s">
        <v>130</v>
      </c>
      <c r="C25" s="133"/>
      <c r="D25" s="134"/>
      <c r="E25" s="265"/>
      <c r="F25" s="224">
        <f>+SUM(F15,F16,F18,F19,F20,F21,F22,F23,F24)</f>
        <v>1962.092</v>
      </c>
      <c r="G25" s="223">
        <f>+SUM(G15,G16,G18,G19,G20,G21,G22,G23,G24)</f>
        <v>1770.9790000000003</v>
      </c>
      <c r="H25" s="265"/>
      <c r="I25" s="224">
        <f>+SUM(I15,I16,I18,I19,I20,I21,I22,I23,I24)</f>
        <v>0</v>
      </c>
      <c r="J25" s="223">
        <f>+SUM(J15,J16,J18,J19,J20,J21,J22,J23,J24)</f>
        <v>0</v>
      </c>
      <c r="K25" s="265"/>
      <c r="L25" s="224">
        <f>+SUM(L15,L16,L18,L19,L20,L21,L22,L23,L24)</f>
        <v>0</v>
      </c>
      <c r="M25" s="223">
        <f>+SUM(M15,M16,M18,M19,M20,M21,M22,M23,M24)</f>
        <v>0</v>
      </c>
      <c r="N25" s="451"/>
      <c r="O25" s="350">
        <f>+SUM(O15,O16,O18,O19,O20,O21,O22,O23,O24)</f>
        <v>1962.092</v>
      </c>
      <c r="P25" s="351">
        <f>+SUM(P15,P16,P18,P19,P20,P21,P22,P23,P24)</f>
        <v>1770.9790000000003</v>
      </c>
      <c r="Q25" s="50"/>
      <c r="R25" s="210"/>
      <c r="S25" s="210"/>
      <c r="T25" s="210"/>
      <c r="U25" s="21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96"/>
      <c r="B26" s="184" t="s">
        <v>144</v>
      </c>
      <c r="C26" s="109"/>
      <c r="D26" s="113"/>
      <c r="E26" s="265"/>
      <c r="F26" s="225"/>
      <c r="G26" s="214"/>
      <c r="H26" s="265"/>
      <c r="I26" s="225"/>
      <c r="J26" s="214"/>
      <c r="K26" s="265"/>
      <c r="L26" s="225"/>
      <c r="M26" s="214"/>
      <c r="N26" s="451"/>
      <c r="O26" s="352"/>
      <c r="P26" s="345"/>
      <c r="Q26" s="50"/>
      <c r="R26" s="210"/>
      <c r="S26" s="210"/>
      <c r="T26" s="210"/>
      <c r="U26" s="21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96"/>
      <c r="B27" s="185" t="s">
        <v>67</v>
      </c>
      <c r="C27" s="144"/>
      <c r="D27" s="145"/>
      <c r="E27" s="265"/>
      <c r="F27" s="244">
        <f>+'Cash-Flow-2020-Leva'!F27/1000</f>
        <v>4.13</v>
      </c>
      <c r="G27" s="243">
        <f>+'Cash-Flow-2020-Leva'!G27/1000</f>
        <v>7.8</v>
      </c>
      <c r="H27" s="265"/>
      <c r="I27" s="244">
        <f>+'Cash-Flow-2020-Leva'!I27/1000</f>
        <v>0</v>
      </c>
      <c r="J27" s="243">
        <f>+'Cash-Flow-2020-Leva'!J27/1000</f>
        <v>0</v>
      </c>
      <c r="K27" s="265"/>
      <c r="L27" s="244">
        <f>+'Cash-Flow-2020-Leva'!L27/1000</f>
        <v>0</v>
      </c>
      <c r="M27" s="243">
        <f>+'Cash-Flow-2020-Leva'!M27/1000</f>
        <v>0</v>
      </c>
      <c r="N27" s="451"/>
      <c r="O27" s="353">
        <f aca="true" t="shared" si="2" ref="O27:P29">+F27+I27+L27</f>
        <v>4.13</v>
      </c>
      <c r="P27" s="366">
        <f t="shared" si="2"/>
        <v>7.8</v>
      </c>
      <c r="Q27" s="50"/>
      <c r="R27" s="210"/>
      <c r="S27" s="210"/>
      <c r="T27" s="210"/>
      <c r="U27" s="21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96"/>
      <c r="B28" s="180" t="s">
        <v>71</v>
      </c>
      <c r="C28" s="140"/>
      <c r="D28" s="141"/>
      <c r="E28" s="265"/>
      <c r="F28" s="267">
        <f>+'Cash-Flow-2020-Leva'!F28/1000</f>
        <v>12.509</v>
      </c>
      <c r="G28" s="266">
        <f>+'Cash-Flow-2020-Leva'!G28/1000</f>
        <v>3.592</v>
      </c>
      <c r="H28" s="265"/>
      <c r="I28" s="267">
        <f>+'Cash-Flow-2020-Leva'!I28/1000</f>
        <v>0</v>
      </c>
      <c r="J28" s="266">
        <f>+'Cash-Flow-2020-Leva'!J28/1000</f>
        <v>0</v>
      </c>
      <c r="K28" s="265"/>
      <c r="L28" s="267">
        <f>+'Cash-Flow-2020-Leva'!L28/1000</f>
        <v>0</v>
      </c>
      <c r="M28" s="266">
        <f>+'Cash-Flow-2020-Leva'!M28/1000</f>
        <v>0</v>
      </c>
      <c r="N28" s="451"/>
      <c r="O28" s="348">
        <f t="shared" si="2"/>
        <v>12.509</v>
      </c>
      <c r="P28" s="400">
        <f t="shared" si="2"/>
        <v>3.592</v>
      </c>
      <c r="Q28" s="50"/>
      <c r="R28" s="210"/>
      <c r="S28" s="210"/>
      <c r="T28" s="210"/>
      <c r="U28" s="21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96"/>
      <c r="B29" s="441" t="s">
        <v>145</v>
      </c>
      <c r="C29" s="142"/>
      <c r="D29" s="143"/>
      <c r="E29" s="265"/>
      <c r="F29" s="256">
        <f>+'Cash-Flow-2020-Leva'!F29/1000</f>
        <v>0</v>
      </c>
      <c r="G29" s="255">
        <f>+'Cash-Flow-2020-Leva'!G29/1000</f>
        <v>0</v>
      </c>
      <c r="H29" s="265"/>
      <c r="I29" s="256">
        <f>+'Cash-Flow-2020-Leva'!I29/1000</f>
        <v>0</v>
      </c>
      <c r="J29" s="255">
        <f>+'Cash-Flow-2020-Leva'!J29/1000</f>
        <v>0</v>
      </c>
      <c r="K29" s="265"/>
      <c r="L29" s="256">
        <f>+'Cash-Flow-2020-Leva'!L29/1000</f>
        <v>0</v>
      </c>
      <c r="M29" s="255">
        <f>+'Cash-Flow-2020-Leva'!M29/1000</f>
        <v>0</v>
      </c>
      <c r="N29" s="451"/>
      <c r="O29" s="349">
        <f t="shared" si="2"/>
        <v>0</v>
      </c>
      <c r="P29" s="372">
        <f t="shared" si="2"/>
        <v>0</v>
      </c>
      <c r="Q29" s="50"/>
      <c r="R29" s="210"/>
      <c r="S29" s="210"/>
      <c r="T29" s="210"/>
      <c r="U29" s="21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96"/>
      <c r="B30" s="132" t="s">
        <v>255</v>
      </c>
      <c r="C30" s="133"/>
      <c r="D30" s="134"/>
      <c r="E30" s="265"/>
      <c r="F30" s="224">
        <f>+SUM(F27:F29)</f>
        <v>16.639</v>
      </c>
      <c r="G30" s="223">
        <f>+SUM(G27:G29)</f>
        <v>11.392</v>
      </c>
      <c r="H30" s="265"/>
      <c r="I30" s="224">
        <f>+SUM(I27:I29)</f>
        <v>0</v>
      </c>
      <c r="J30" s="223">
        <f>+SUM(J27:J29)</f>
        <v>0</v>
      </c>
      <c r="K30" s="265"/>
      <c r="L30" s="224">
        <f>+SUM(L27:L29)</f>
        <v>0</v>
      </c>
      <c r="M30" s="223">
        <f>+SUM(M27:M29)</f>
        <v>0</v>
      </c>
      <c r="N30" s="451"/>
      <c r="O30" s="350">
        <f>+SUM(O27:O29)</f>
        <v>16.639</v>
      </c>
      <c r="P30" s="351">
        <f>+SUM(P27:P29)</f>
        <v>11.392</v>
      </c>
      <c r="Q30" s="50"/>
      <c r="R30" s="210"/>
      <c r="S30" s="210"/>
      <c r="T30" s="210"/>
      <c r="U30" s="21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96"/>
      <c r="B31" s="146"/>
      <c r="C31" s="147"/>
      <c r="D31" s="148"/>
      <c r="E31" s="265"/>
      <c r="F31" s="226"/>
      <c r="G31" s="216"/>
      <c r="H31" s="265"/>
      <c r="I31" s="226"/>
      <c r="J31" s="216"/>
      <c r="K31" s="265"/>
      <c r="L31" s="226"/>
      <c r="M31" s="216"/>
      <c r="N31" s="451"/>
      <c r="O31" s="354"/>
      <c r="P31" s="347"/>
      <c r="Q31" s="50"/>
      <c r="R31" s="210"/>
      <c r="S31" s="210"/>
      <c r="T31" s="210"/>
      <c r="U31" s="21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96"/>
      <c r="B32" s="186" t="s">
        <v>91</v>
      </c>
      <c r="C32" s="110"/>
      <c r="D32" s="115"/>
      <c r="E32" s="265"/>
      <c r="F32" s="228"/>
      <c r="G32" s="227"/>
      <c r="H32" s="265"/>
      <c r="I32" s="228"/>
      <c r="J32" s="227"/>
      <c r="K32" s="265"/>
      <c r="L32" s="228"/>
      <c r="M32" s="227"/>
      <c r="N32" s="451"/>
      <c r="O32" s="355"/>
      <c r="P32" s="356"/>
      <c r="Q32" s="50"/>
      <c r="R32" s="210"/>
      <c r="S32" s="210"/>
      <c r="T32" s="210"/>
      <c r="U32" s="21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96"/>
      <c r="B33" s="187" t="s">
        <v>70</v>
      </c>
      <c r="C33" s="111"/>
      <c r="D33" s="116"/>
      <c r="E33" s="265"/>
      <c r="F33" s="230"/>
      <c r="G33" s="229"/>
      <c r="H33" s="265"/>
      <c r="I33" s="230"/>
      <c r="J33" s="229"/>
      <c r="K33" s="265"/>
      <c r="L33" s="230"/>
      <c r="M33" s="229"/>
      <c r="N33" s="451"/>
      <c r="O33" s="357"/>
      <c r="P33" s="358"/>
      <c r="Q33" s="50"/>
      <c r="R33" s="210"/>
      <c r="S33" s="210"/>
      <c r="T33" s="210"/>
      <c r="U33" s="21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96"/>
      <c r="B34" s="188" t="s">
        <v>80</v>
      </c>
      <c r="C34" s="111"/>
      <c r="D34" s="116"/>
      <c r="E34" s="265"/>
      <c r="F34" s="232"/>
      <c r="G34" s="231"/>
      <c r="H34" s="265"/>
      <c r="I34" s="232"/>
      <c r="J34" s="231"/>
      <c r="K34" s="265"/>
      <c r="L34" s="232"/>
      <c r="M34" s="231"/>
      <c r="N34" s="451"/>
      <c r="O34" s="359"/>
      <c r="P34" s="360"/>
      <c r="Q34" s="50"/>
      <c r="R34" s="210"/>
      <c r="S34" s="210"/>
      <c r="T34" s="210"/>
      <c r="U34" s="21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96"/>
      <c r="B35" s="188" t="s">
        <v>72</v>
      </c>
      <c r="C35" s="111"/>
      <c r="D35" s="116"/>
      <c r="E35" s="265"/>
      <c r="F35" s="232"/>
      <c r="G35" s="231"/>
      <c r="H35" s="265"/>
      <c r="I35" s="232"/>
      <c r="J35" s="231"/>
      <c r="K35" s="265"/>
      <c r="L35" s="232"/>
      <c r="M35" s="231"/>
      <c r="N35" s="451"/>
      <c r="O35" s="359"/>
      <c r="P35" s="360"/>
      <c r="Q35" s="50"/>
      <c r="R35" s="210"/>
      <c r="S35" s="210"/>
      <c r="T35" s="210"/>
      <c r="U35" s="21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96"/>
      <c r="B36" s="189" t="s">
        <v>73</v>
      </c>
      <c r="C36" s="111"/>
      <c r="D36" s="116"/>
      <c r="E36" s="265"/>
      <c r="F36" s="234"/>
      <c r="G36" s="233"/>
      <c r="H36" s="265"/>
      <c r="I36" s="234"/>
      <c r="J36" s="233"/>
      <c r="K36" s="265"/>
      <c r="L36" s="234"/>
      <c r="M36" s="233"/>
      <c r="N36" s="451"/>
      <c r="O36" s="361"/>
      <c r="P36" s="362"/>
      <c r="Q36" s="50"/>
      <c r="R36" s="210"/>
      <c r="S36" s="210"/>
      <c r="T36" s="210"/>
      <c r="U36" s="21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96"/>
      <c r="B37" s="444" t="s">
        <v>256</v>
      </c>
      <c r="C37" s="133"/>
      <c r="D37" s="134"/>
      <c r="E37" s="265"/>
      <c r="F37" s="224">
        <f>+'Cash-Flow-2020-Leva'!F37/1000</f>
        <v>-32.918</v>
      </c>
      <c r="G37" s="223">
        <f>+'Cash-Flow-2020-Leva'!G37/1000</f>
        <v>-34.027</v>
      </c>
      <c r="H37" s="265"/>
      <c r="I37" s="224">
        <f>+'Cash-Flow-2020-Leva'!I37/1000</f>
        <v>0</v>
      </c>
      <c r="J37" s="223">
        <f>+'Cash-Flow-2020-Leva'!J37/1000</f>
        <v>0</v>
      </c>
      <c r="K37" s="265"/>
      <c r="L37" s="224">
        <f>+'Cash-Flow-2020-Leva'!L37/1000</f>
        <v>0</v>
      </c>
      <c r="M37" s="223">
        <f>+'Cash-Flow-2020-Leva'!M37/1000</f>
        <v>0</v>
      </c>
      <c r="N37" s="451"/>
      <c r="O37" s="350">
        <f aca="true" t="shared" si="3" ref="O37:P40">+F37+I37+L37</f>
        <v>-32.918</v>
      </c>
      <c r="P37" s="351">
        <f t="shared" si="3"/>
        <v>-34.027</v>
      </c>
      <c r="Q37" s="50"/>
      <c r="R37" s="210"/>
      <c r="S37" s="210"/>
      <c r="T37" s="210"/>
      <c r="U37" s="21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96"/>
      <c r="B38" s="190" t="s">
        <v>122</v>
      </c>
      <c r="C38" s="151"/>
      <c r="D38" s="152"/>
      <c r="E38" s="265"/>
      <c r="F38" s="269">
        <f>+'Cash-Flow-2020-Leva'!F38/1000</f>
        <v>-18.911</v>
      </c>
      <c r="G38" s="268">
        <f>+'Cash-Flow-2020-Leva'!G38/1000</f>
        <v>-20.554</v>
      </c>
      <c r="H38" s="265"/>
      <c r="I38" s="269">
        <f>+'Cash-Flow-2020-Leva'!I38/1000</f>
        <v>0</v>
      </c>
      <c r="J38" s="268">
        <f>+'Cash-Flow-2020-Leva'!J38/1000</f>
        <v>0</v>
      </c>
      <c r="K38" s="265"/>
      <c r="L38" s="269">
        <f>+'Cash-Flow-2020-Leva'!L38/1000</f>
        <v>0</v>
      </c>
      <c r="M38" s="268">
        <f>+'Cash-Flow-2020-Leva'!M38/1000</f>
        <v>0</v>
      </c>
      <c r="N38" s="451"/>
      <c r="O38" s="363">
        <f t="shared" si="3"/>
        <v>-18.911</v>
      </c>
      <c r="P38" s="401">
        <f t="shared" si="3"/>
        <v>-20.554</v>
      </c>
      <c r="Q38" s="50"/>
      <c r="R38" s="210"/>
      <c r="S38" s="210"/>
      <c r="T38" s="210"/>
      <c r="U38" s="21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96"/>
      <c r="B39" s="191" t="s">
        <v>142</v>
      </c>
      <c r="C39" s="153"/>
      <c r="D39" s="154"/>
      <c r="E39" s="265"/>
      <c r="F39" s="271">
        <f>+'Cash-Flow-2020-Leva'!F39/1000</f>
        <v>-14.007</v>
      </c>
      <c r="G39" s="270">
        <f>+'Cash-Flow-2020-Leva'!G39/1000</f>
        <v>-13.473</v>
      </c>
      <c r="H39" s="265"/>
      <c r="I39" s="271">
        <f>+'Cash-Flow-2020-Leva'!I39/1000</f>
        <v>0</v>
      </c>
      <c r="J39" s="270">
        <f>+'Cash-Flow-2020-Leva'!J39/1000</f>
        <v>0</v>
      </c>
      <c r="K39" s="265"/>
      <c r="L39" s="271">
        <f>+'Cash-Flow-2020-Leva'!L39/1000</f>
        <v>0</v>
      </c>
      <c r="M39" s="270">
        <f>+'Cash-Flow-2020-Leva'!M39/1000</f>
        <v>0</v>
      </c>
      <c r="N39" s="451"/>
      <c r="O39" s="364">
        <f t="shared" si="3"/>
        <v>-14.007</v>
      </c>
      <c r="P39" s="402">
        <f t="shared" si="3"/>
        <v>-13.473</v>
      </c>
      <c r="Q39" s="50"/>
      <c r="R39" s="210"/>
      <c r="S39" s="210"/>
      <c r="T39" s="210"/>
      <c r="U39" s="21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96"/>
      <c r="B40" s="192" t="s">
        <v>123</v>
      </c>
      <c r="C40" s="155"/>
      <c r="D40" s="156"/>
      <c r="E40" s="265"/>
      <c r="F40" s="273">
        <f>+'Cash-Flow-2020-Leva'!F40/1000</f>
        <v>0</v>
      </c>
      <c r="G40" s="272">
        <f>+'Cash-Flow-2020-Leva'!G40/1000</f>
        <v>0</v>
      </c>
      <c r="H40" s="265"/>
      <c r="I40" s="273">
        <f>+'Cash-Flow-2020-Leva'!I40/1000</f>
        <v>0</v>
      </c>
      <c r="J40" s="272">
        <f>+'Cash-Flow-2020-Leva'!J40/1000</f>
        <v>0</v>
      </c>
      <c r="K40" s="265"/>
      <c r="L40" s="273">
        <f>+'Cash-Flow-2020-Leva'!L40/1000</f>
        <v>0</v>
      </c>
      <c r="M40" s="272">
        <f>+'Cash-Flow-2020-Leva'!M40/1000</f>
        <v>0</v>
      </c>
      <c r="N40" s="451"/>
      <c r="O40" s="365">
        <f t="shared" si="3"/>
        <v>0</v>
      </c>
      <c r="P40" s="403">
        <f t="shared" si="3"/>
        <v>0</v>
      </c>
      <c r="Q40" s="50"/>
      <c r="R40" s="210"/>
      <c r="S40" s="210"/>
      <c r="T40" s="210"/>
      <c r="U40" s="21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96"/>
      <c r="B41" s="149"/>
      <c r="C41" s="150"/>
      <c r="D41" s="114"/>
      <c r="E41" s="265"/>
      <c r="F41" s="226"/>
      <c r="G41" s="216"/>
      <c r="H41" s="265"/>
      <c r="I41" s="226"/>
      <c r="J41" s="216"/>
      <c r="K41" s="265"/>
      <c r="L41" s="226"/>
      <c r="M41" s="216"/>
      <c r="N41" s="451"/>
      <c r="O41" s="354"/>
      <c r="P41" s="347"/>
      <c r="Q41" s="50"/>
      <c r="R41" s="210"/>
      <c r="S41" s="210"/>
      <c r="T41" s="210"/>
      <c r="U41" s="21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96"/>
      <c r="B42" s="132" t="s">
        <v>75</v>
      </c>
      <c r="C42" s="133"/>
      <c r="D42" s="134"/>
      <c r="E42" s="265"/>
      <c r="F42" s="224">
        <f>+'Cash-Flow-2020-Leva'!F42/1000</f>
        <v>0</v>
      </c>
      <c r="G42" s="223">
        <f>+'Cash-Flow-2020-Leva'!G42/1000</f>
        <v>0</v>
      </c>
      <c r="H42" s="265"/>
      <c r="I42" s="224">
        <f>+'Cash-Flow-2020-Leva'!I42/1000</f>
        <v>0</v>
      </c>
      <c r="J42" s="223">
        <f>+'Cash-Flow-2020-Leva'!J42/1000</f>
        <v>0</v>
      </c>
      <c r="K42" s="265"/>
      <c r="L42" s="224">
        <f>+'Cash-Flow-2020-Leva'!L42/1000</f>
        <v>0</v>
      </c>
      <c r="M42" s="223">
        <f>+'Cash-Flow-2020-Leva'!M42/1000</f>
        <v>0</v>
      </c>
      <c r="N42" s="451"/>
      <c r="O42" s="350">
        <f>+F42+I42+L42</f>
        <v>0</v>
      </c>
      <c r="P42" s="351">
        <f>+G42+J42+M42</f>
        <v>0</v>
      </c>
      <c r="Q42" s="50"/>
      <c r="R42" s="210"/>
      <c r="S42" s="210"/>
      <c r="T42" s="210"/>
      <c r="U42" s="21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96"/>
      <c r="B43" s="184" t="s">
        <v>53</v>
      </c>
      <c r="C43" s="109"/>
      <c r="D43" s="113"/>
      <c r="E43" s="265"/>
      <c r="F43" s="225">
        <f>+'Cash-Flow-2020-Leva'!F43/1000</f>
        <v>0</v>
      </c>
      <c r="G43" s="214">
        <f>+'Cash-Flow-2020-Leva'!G43/1000</f>
        <v>0</v>
      </c>
      <c r="H43" s="265"/>
      <c r="I43" s="225">
        <f>+'Cash-Flow-2020-Leva'!I43/1000</f>
        <v>0</v>
      </c>
      <c r="J43" s="214">
        <f>+'Cash-Flow-2020-Leva'!J43/1000</f>
        <v>0</v>
      </c>
      <c r="K43" s="265"/>
      <c r="L43" s="225">
        <f>+'Cash-Flow-2020-Leva'!L43/1000</f>
        <v>0</v>
      </c>
      <c r="M43" s="214">
        <f>+'Cash-Flow-2020-Leva'!M43/1000</f>
        <v>0</v>
      </c>
      <c r="N43" s="451"/>
      <c r="O43" s="352"/>
      <c r="P43" s="345"/>
      <c r="Q43" s="50"/>
      <c r="R43" s="210"/>
      <c r="S43" s="210"/>
      <c r="T43" s="210"/>
      <c r="U43" s="21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96"/>
      <c r="B44" s="185" t="s">
        <v>54</v>
      </c>
      <c r="C44" s="144"/>
      <c r="D44" s="145"/>
      <c r="E44" s="265"/>
      <c r="F44" s="244">
        <f>+'Cash-Flow-2020-Leva'!F44/1000</f>
        <v>0</v>
      </c>
      <c r="G44" s="243">
        <f>+'Cash-Flow-2020-Leva'!G44/1000</f>
        <v>0</v>
      </c>
      <c r="H44" s="265"/>
      <c r="I44" s="244">
        <f>+'Cash-Flow-2020-Leva'!I44/1000</f>
        <v>1840.938</v>
      </c>
      <c r="J44" s="243">
        <f>+'Cash-Flow-2020-Leva'!J44/1000</f>
        <v>2168.463</v>
      </c>
      <c r="K44" s="265"/>
      <c r="L44" s="244">
        <f>+'Cash-Flow-2020-Leva'!L44/1000</f>
        <v>0</v>
      </c>
      <c r="M44" s="243">
        <f>+'Cash-Flow-2020-Leva'!M44/1000</f>
        <v>0</v>
      </c>
      <c r="N44" s="451"/>
      <c r="O44" s="353">
        <f aca="true" t="shared" si="4" ref="O44:P47">+F44+I44+L44</f>
        <v>1840.938</v>
      </c>
      <c r="P44" s="366">
        <f t="shared" si="4"/>
        <v>2168.463</v>
      </c>
      <c r="Q44" s="50"/>
      <c r="R44" s="210"/>
      <c r="S44" s="210"/>
      <c r="T44" s="210"/>
      <c r="U44" s="21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96"/>
      <c r="B45" s="180" t="s">
        <v>55</v>
      </c>
      <c r="C45" s="140"/>
      <c r="D45" s="141"/>
      <c r="E45" s="265"/>
      <c r="F45" s="267">
        <f>+'Cash-Flow-2020-Leva'!F45/1000</f>
        <v>0</v>
      </c>
      <c r="G45" s="266">
        <f>+'Cash-Flow-2020-Leva'!G45/1000</f>
        <v>0</v>
      </c>
      <c r="H45" s="265"/>
      <c r="I45" s="267">
        <f>+'Cash-Flow-2020-Leva'!I45/1000</f>
        <v>0</v>
      </c>
      <c r="J45" s="266">
        <f>+'Cash-Flow-2020-Leva'!J45/1000</f>
        <v>0</v>
      </c>
      <c r="K45" s="265"/>
      <c r="L45" s="267">
        <f>+'Cash-Flow-2020-Leva'!L45/1000</f>
        <v>0</v>
      </c>
      <c r="M45" s="266">
        <f>+'Cash-Flow-2020-Leva'!M45/1000</f>
        <v>0</v>
      </c>
      <c r="N45" s="451"/>
      <c r="O45" s="348">
        <f t="shared" si="4"/>
        <v>0</v>
      </c>
      <c r="P45" s="400">
        <f t="shared" si="4"/>
        <v>0</v>
      </c>
      <c r="Q45" s="50"/>
      <c r="R45" s="210"/>
      <c r="S45" s="210"/>
      <c r="T45" s="210"/>
      <c r="U45" s="21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96"/>
      <c r="B46" s="442" t="s">
        <v>251</v>
      </c>
      <c r="C46" s="140"/>
      <c r="D46" s="141"/>
      <c r="E46" s="265"/>
      <c r="F46" s="267">
        <f>+'Cash-Flow-2020-Leva'!F46/1000</f>
        <v>0</v>
      </c>
      <c r="G46" s="266">
        <f>+'Cash-Flow-2020-Leva'!G46/1000</f>
        <v>0</v>
      </c>
      <c r="H46" s="265"/>
      <c r="I46" s="267">
        <f>+'Cash-Flow-2020-Leva'!I46/1000</f>
        <v>0</v>
      </c>
      <c r="J46" s="266">
        <f>+'Cash-Flow-2020-Leva'!J46/1000</f>
        <v>0</v>
      </c>
      <c r="K46" s="265"/>
      <c r="L46" s="267">
        <f>+'Cash-Flow-2020-Leva'!L46/1000</f>
        <v>0</v>
      </c>
      <c r="M46" s="266">
        <f>+'Cash-Flow-2020-Leva'!M46/1000</f>
        <v>0</v>
      </c>
      <c r="N46" s="451"/>
      <c r="O46" s="348">
        <f t="shared" si="4"/>
        <v>0</v>
      </c>
      <c r="P46" s="400">
        <f t="shared" si="4"/>
        <v>0</v>
      </c>
      <c r="Q46" s="50"/>
      <c r="R46" s="210"/>
      <c r="S46" s="210"/>
      <c r="T46" s="210"/>
      <c r="U46" s="21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96"/>
      <c r="B47" s="181" t="s">
        <v>56</v>
      </c>
      <c r="C47" s="142"/>
      <c r="D47" s="143"/>
      <c r="E47" s="265"/>
      <c r="F47" s="256">
        <f>+'Cash-Flow-2020-Leva'!F47/1000</f>
        <v>25.523</v>
      </c>
      <c r="G47" s="255">
        <f>+'Cash-Flow-2020-Leva'!G47/1000</f>
        <v>27.29</v>
      </c>
      <c r="H47" s="265"/>
      <c r="I47" s="256">
        <f>+'Cash-Flow-2020-Leva'!I47/1000</f>
        <v>0</v>
      </c>
      <c r="J47" s="255">
        <f>+'Cash-Flow-2020-Leva'!J47/1000</f>
        <v>0</v>
      </c>
      <c r="K47" s="265"/>
      <c r="L47" s="256">
        <f>+'Cash-Flow-2020-Leva'!L47/1000</f>
        <v>0</v>
      </c>
      <c r="M47" s="255">
        <f>+'Cash-Flow-2020-Leva'!M47/1000</f>
        <v>0</v>
      </c>
      <c r="N47" s="451"/>
      <c r="O47" s="349">
        <f t="shared" si="4"/>
        <v>25.523</v>
      </c>
      <c r="P47" s="372">
        <f t="shared" si="4"/>
        <v>27.29</v>
      </c>
      <c r="Q47" s="50"/>
      <c r="R47" s="210"/>
      <c r="S47" s="210"/>
      <c r="T47" s="210"/>
      <c r="U47" s="21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96"/>
      <c r="B48" s="132" t="s">
        <v>131</v>
      </c>
      <c r="C48" s="133"/>
      <c r="D48" s="134"/>
      <c r="E48" s="265"/>
      <c r="F48" s="224">
        <f>+SUM(F44:F47)</f>
        <v>25.523</v>
      </c>
      <c r="G48" s="223">
        <f>+SUM(G44:G47)</f>
        <v>27.29</v>
      </c>
      <c r="H48" s="265"/>
      <c r="I48" s="224">
        <f>+SUM(I44:I47)</f>
        <v>1840.938</v>
      </c>
      <c r="J48" s="223">
        <f>+SUM(J44:J47)</f>
        <v>2168.463</v>
      </c>
      <c r="K48" s="265"/>
      <c r="L48" s="224">
        <f>+SUM(L44:L47)</f>
        <v>0</v>
      </c>
      <c r="M48" s="223">
        <f>+SUM(M44:M47)</f>
        <v>0</v>
      </c>
      <c r="N48" s="451"/>
      <c r="O48" s="350">
        <f>+SUM(O44:O47)</f>
        <v>1866.461</v>
      </c>
      <c r="P48" s="351">
        <f>+SUM(P44:P47)</f>
        <v>2195.753</v>
      </c>
      <c r="Q48" s="50"/>
      <c r="R48" s="210"/>
      <c r="S48" s="210"/>
      <c r="T48" s="210"/>
      <c r="U48" s="21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0"/>
      <c r="B49" s="168"/>
      <c r="C49" s="147"/>
      <c r="D49" s="148"/>
      <c r="E49" s="215"/>
      <c r="F49" s="244"/>
      <c r="G49" s="243"/>
      <c r="H49" s="215"/>
      <c r="I49" s="244"/>
      <c r="J49" s="243"/>
      <c r="K49" s="215"/>
      <c r="L49" s="244"/>
      <c r="M49" s="243"/>
      <c r="N49" s="452"/>
      <c r="O49" s="353"/>
      <c r="P49" s="366"/>
      <c r="Q49" s="31"/>
      <c r="R49" s="210"/>
      <c r="S49" s="210"/>
      <c r="T49" s="210"/>
      <c r="U49" s="21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96"/>
      <c r="B50" s="193" t="s">
        <v>105</v>
      </c>
      <c r="C50" s="169"/>
      <c r="D50" s="170"/>
      <c r="E50" s="265"/>
      <c r="F50" s="246">
        <f>+F25+F30+F37+F42+F48</f>
        <v>1971.336</v>
      </c>
      <c r="G50" s="245">
        <f>+G25+G30+G37+G42+G48</f>
        <v>1775.6340000000002</v>
      </c>
      <c r="H50" s="265"/>
      <c r="I50" s="246">
        <f>+I25+I30+I37+I42+I48</f>
        <v>1840.938</v>
      </c>
      <c r="J50" s="245">
        <f>+J25+J30+J37+J42+J48</f>
        <v>2168.463</v>
      </c>
      <c r="K50" s="265"/>
      <c r="L50" s="246">
        <f>+L25+L30+L37+L42+L48</f>
        <v>0</v>
      </c>
      <c r="M50" s="245">
        <f>+M25+M30+M37+M42+M48</f>
        <v>0</v>
      </c>
      <c r="N50" s="451"/>
      <c r="O50" s="367">
        <f>+O25+O30+O37+O42+O48</f>
        <v>3812.2740000000003</v>
      </c>
      <c r="P50" s="368">
        <f>+P25+P30+P37+P42+P48</f>
        <v>3944.0970000000007</v>
      </c>
      <c r="Q50" s="98"/>
      <c r="R50" s="210"/>
      <c r="S50" s="210"/>
      <c r="T50" s="210"/>
      <c r="U50" s="21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96"/>
      <c r="B51" s="182" t="s">
        <v>79</v>
      </c>
      <c r="C51" s="124"/>
      <c r="D51" s="125"/>
      <c r="E51" s="265"/>
      <c r="F51" s="226"/>
      <c r="G51" s="216"/>
      <c r="H51" s="265"/>
      <c r="I51" s="226"/>
      <c r="J51" s="216"/>
      <c r="K51" s="265"/>
      <c r="L51" s="226"/>
      <c r="M51" s="216"/>
      <c r="N51" s="451"/>
      <c r="O51" s="354"/>
      <c r="P51" s="347"/>
      <c r="Q51" s="50"/>
      <c r="R51" s="210"/>
      <c r="S51" s="210"/>
      <c r="T51" s="210"/>
      <c r="U51" s="21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96"/>
      <c r="B52" s="184" t="s">
        <v>66</v>
      </c>
      <c r="C52" s="109"/>
      <c r="D52" s="113"/>
      <c r="E52" s="265"/>
      <c r="F52" s="226"/>
      <c r="G52" s="216"/>
      <c r="H52" s="265"/>
      <c r="I52" s="226"/>
      <c r="J52" s="216"/>
      <c r="K52" s="265"/>
      <c r="L52" s="226"/>
      <c r="M52" s="216"/>
      <c r="N52" s="451"/>
      <c r="O52" s="354"/>
      <c r="P52" s="347"/>
      <c r="Q52" s="50"/>
      <c r="R52" s="210"/>
      <c r="S52" s="210"/>
      <c r="T52" s="210"/>
      <c r="U52" s="21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96"/>
      <c r="B53" s="185" t="s">
        <v>84</v>
      </c>
      <c r="C53" s="144"/>
      <c r="D53" s="145"/>
      <c r="E53" s="265"/>
      <c r="F53" s="226">
        <f>+'Cash-Flow-2020-Leva'!F53/1000</f>
        <v>2109.031</v>
      </c>
      <c r="G53" s="216">
        <f>+'Cash-Flow-2020-Leva'!G53/1000</f>
        <v>2122.725</v>
      </c>
      <c r="H53" s="265"/>
      <c r="I53" s="226">
        <f>+'Cash-Flow-2020-Leva'!I53/1000</f>
        <v>103.454</v>
      </c>
      <c r="J53" s="216">
        <f>+'Cash-Flow-2020-Leva'!J53/1000</f>
        <v>556.231</v>
      </c>
      <c r="K53" s="265"/>
      <c r="L53" s="226">
        <f>+'Cash-Flow-2020-Leva'!L53/1000</f>
        <v>0</v>
      </c>
      <c r="M53" s="216">
        <f>+'Cash-Flow-2020-Leva'!M53/1000</f>
        <v>0</v>
      </c>
      <c r="N53" s="451"/>
      <c r="O53" s="353">
        <f aca="true" t="shared" si="5" ref="O53:P57">+F53+I53+L53</f>
        <v>2212.485</v>
      </c>
      <c r="P53" s="347">
        <f t="shared" si="5"/>
        <v>2678.956</v>
      </c>
      <c r="Q53" s="50"/>
      <c r="R53" s="210"/>
      <c r="S53" s="210"/>
      <c r="T53" s="210"/>
      <c r="U53" s="21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96"/>
      <c r="B54" s="180" t="s">
        <v>76</v>
      </c>
      <c r="C54" s="140"/>
      <c r="D54" s="141"/>
      <c r="E54" s="265"/>
      <c r="F54" s="256">
        <f>+'Cash-Flow-2020-Leva'!F54/1000</f>
        <v>57.614</v>
      </c>
      <c r="G54" s="255">
        <f>+'Cash-Flow-2020-Leva'!G54/1000</f>
        <v>45.93</v>
      </c>
      <c r="H54" s="265"/>
      <c r="I54" s="256">
        <f>+'Cash-Flow-2020-Leva'!I54/1000</f>
        <v>0</v>
      </c>
      <c r="J54" s="255">
        <f>+'Cash-Flow-2020-Leva'!J54/1000</f>
        <v>0</v>
      </c>
      <c r="K54" s="265"/>
      <c r="L54" s="256">
        <f>+'Cash-Flow-2020-Leva'!L54/1000</f>
        <v>0</v>
      </c>
      <c r="M54" s="255">
        <f>+'Cash-Flow-2020-Leva'!M54/1000</f>
        <v>0</v>
      </c>
      <c r="N54" s="451"/>
      <c r="O54" s="349">
        <f t="shared" si="5"/>
        <v>57.614</v>
      </c>
      <c r="P54" s="372">
        <f t="shared" si="5"/>
        <v>45.93</v>
      </c>
      <c r="Q54" s="50"/>
      <c r="R54" s="210"/>
      <c r="S54" s="210"/>
      <c r="T54" s="210"/>
      <c r="U54" s="21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96"/>
      <c r="B55" s="180" t="s">
        <v>87</v>
      </c>
      <c r="C55" s="140"/>
      <c r="D55" s="141"/>
      <c r="E55" s="265"/>
      <c r="F55" s="256">
        <f>+'Cash-Flow-2020-Leva'!F55/1000</f>
        <v>34.909</v>
      </c>
      <c r="G55" s="255">
        <f>+'Cash-Flow-2020-Leva'!G55/1000</f>
        <v>40.613</v>
      </c>
      <c r="H55" s="265"/>
      <c r="I55" s="256">
        <f>+'Cash-Flow-2020-Leva'!I55/1000</f>
        <v>2.693</v>
      </c>
      <c r="J55" s="255">
        <f>+'Cash-Flow-2020-Leva'!J55/1000</f>
        <v>0</v>
      </c>
      <c r="K55" s="265"/>
      <c r="L55" s="256">
        <f>+'Cash-Flow-2020-Leva'!L55/1000</f>
        <v>0</v>
      </c>
      <c r="M55" s="255">
        <f>+'Cash-Flow-2020-Leva'!M55/1000</f>
        <v>0</v>
      </c>
      <c r="N55" s="451"/>
      <c r="O55" s="349">
        <f t="shared" si="5"/>
        <v>37.602</v>
      </c>
      <c r="P55" s="372">
        <f t="shared" si="5"/>
        <v>40.613</v>
      </c>
      <c r="Q55" s="50"/>
      <c r="R55" s="210"/>
      <c r="S55" s="210"/>
      <c r="T55" s="210"/>
      <c r="U55" s="21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96"/>
      <c r="B56" s="180" t="s">
        <v>57</v>
      </c>
      <c r="C56" s="140"/>
      <c r="D56" s="141"/>
      <c r="E56" s="265"/>
      <c r="F56" s="256">
        <f>+'Cash-Flow-2020-Leva'!F56/1000</f>
        <v>4344.163</v>
      </c>
      <c r="G56" s="255">
        <f>+'Cash-Flow-2020-Leva'!G56/1000</f>
        <v>3505.769</v>
      </c>
      <c r="H56" s="265"/>
      <c r="I56" s="256">
        <f>+'Cash-Flow-2020-Leva'!I56/1000</f>
        <v>606.43</v>
      </c>
      <c r="J56" s="255">
        <f>+'Cash-Flow-2020-Leva'!J56/1000</f>
        <v>400.349</v>
      </c>
      <c r="K56" s="265"/>
      <c r="L56" s="256">
        <f>+'Cash-Flow-2020-Leva'!L56/1000</f>
        <v>0</v>
      </c>
      <c r="M56" s="255">
        <f>+'Cash-Flow-2020-Leva'!M56/1000</f>
        <v>0</v>
      </c>
      <c r="N56" s="451"/>
      <c r="O56" s="349">
        <f t="shared" si="5"/>
        <v>4950.593</v>
      </c>
      <c r="P56" s="372">
        <f t="shared" si="5"/>
        <v>3906.118</v>
      </c>
      <c r="Q56" s="50"/>
      <c r="R56" s="210"/>
      <c r="S56" s="210"/>
      <c r="T56" s="210"/>
      <c r="U56" s="21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96"/>
      <c r="B57" s="181" t="s">
        <v>58</v>
      </c>
      <c r="C57" s="142"/>
      <c r="D57" s="143"/>
      <c r="E57" s="265"/>
      <c r="F57" s="256">
        <f>+'Cash-Flow-2020-Leva'!F57/1000</f>
        <v>882.436</v>
      </c>
      <c r="G57" s="255">
        <f>+'Cash-Flow-2020-Leva'!G57/1000</f>
        <v>726.958</v>
      </c>
      <c r="H57" s="265"/>
      <c r="I57" s="256">
        <f>+'Cash-Flow-2020-Leva'!I57/1000</f>
        <v>101.836</v>
      </c>
      <c r="J57" s="255">
        <f>+'Cash-Flow-2020-Leva'!J57/1000</f>
        <v>62.174</v>
      </c>
      <c r="K57" s="265"/>
      <c r="L57" s="256">
        <f>+'Cash-Flow-2020-Leva'!L57/1000</f>
        <v>0</v>
      </c>
      <c r="M57" s="255">
        <f>+'Cash-Flow-2020-Leva'!M57/1000</f>
        <v>0</v>
      </c>
      <c r="N57" s="451"/>
      <c r="O57" s="349">
        <f t="shared" si="5"/>
        <v>984.272</v>
      </c>
      <c r="P57" s="372">
        <f t="shared" si="5"/>
        <v>789.132</v>
      </c>
      <c r="Q57" s="50"/>
      <c r="R57" s="210"/>
      <c r="S57" s="210"/>
      <c r="T57" s="210"/>
      <c r="U57" s="21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96"/>
      <c r="B58" s="135" t="s">
        <v>132</v>
      </c>
      <c r="C58" s="136"/>
      <c r="D58" s="137"/>
      <c r="E58" s="265"/>
      <c r="F58" s="250">
        <f>+SUM(F53:F57)</f>
        <v>7428.152999999999</v>
      </c>
      <c r="G58" s="249">
        <f>+SUM(G53:G57)</f>
        <v>6441.994999999999</v>
      </c>
      <c r="H58" s="265"/>
      <c r="I58" s="250">
        <f>+SUM(I53:I57)</f>
        <v>814.413</v>
      </c>
      <c r="J58" s="249">
        <f>+SUM(J53:J57)</f>
        <v>1018.7539999999999</v>
      </c>
      <c r="K58" s="265"/>
      <c r="L58" s="250">
        <f>+SUM(L53:L57)</f>
        <v>0</v>
      </c>
      <c r="M58" s="249">
        <f>+SUM(M53:M57)</f>
        <v>0</v>
      </c>
      <c r="N58" s="451"/>
      <c r="O58" s="369">
        <f>+SUM(O53:O57)</f>
        <v>8242.566</v>
      </c>
      <c r="P58" s="370">
        <f>+SUM(P53:P57)</f>
        <v>7460.749</v>
      </c>
      <c r="Q58" s="50"/>
      <c r="R58" s="210"/>
      <c r="S58" s="210"/>
      <c r="T58" s="210"/>
      <c r="U58" s="21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96"/>
      <c r="B59" s="184" t="s">
        <v>77</v>
      </c>
      <c r="C59" s="109"/>
      <c r="D59" s="113"/>
      <c r="E59" s="265"/>
      <c r="F59" s="226"/>
      <c r="G59" s="216"/>
      <c r="H59" s="265"/>
      <c r="I59" s="226"/>
      <c r="J59" s="216"/>
      <c r="K59" s="265"/>
      <c r="L59" s="226"/>
      <c r="M59" s="216"/>
      <c r="N59" s="451"/>
      <c r="O59" s="354"/>
      <c r="P59" s="347"/>
      <c r="Q59" s="50"/>
      <c r="R59" s="210"/>
      <c r="S59" s="210"/>
      <c r="T59" s="210"/>
      <c r="U59" s="21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96"/>
      <c r="B60" s="185" t="s">
        <v>124</v>
      </c>
      <c r="C60" s="144"/>
      <c r="D60" s="145"/>
      <c r="E60" s="265"/>
      <c r="F60" s="226">
        <f>+'Cash-Flow-2020-Leva'!F60/1000</f>
        <v>0</v>
      </c>
      <c r="G60" s="216">
        <f>+'Cash-Flow-2020-Leva'!G60/1000</f>
        <v>8.201</v>
      </c>
      <c r="H60" s="265"/>
      <c r="I60" s="226">
        <f>+'Cash-Flow-2020-Leva'!I60/1000</f>
        <v>0</v>
      </c>
      <c r="J60" s="216">
        <f>+'Cash-Flow-2020-Leva'!J60/1000</f>
        <v>0</v>
      </c>
      <c r="K60" s="265"/>
      <c r="L60" s="226">
        <f>+'Cash-Flow-2020-Leva'!L60/1000</f>
        <v>0</v>
      </c>
      <c r="M60" s="216">
        <f>+'Cash-Flow-2020-Leva'!M60/1000</f>
        <v>0</v>
      </c>
      <c r="N60" s="451"/>
      <c r="O60" s="354">
        <f aca="true" t="shared" si="6" ref="O60:P64">+F60+I60+L60</f>
        <v>0</v>
      </c>
      <c r="P60" s="347">
        <f t="shared" si="6"/>
        <v>8.201</v>
      </c>
      <c r="Q60" s="50"/>
      <c r="R60" s="210"/>
      <c r="S60" s="210"/>
      <c r="T60" s="210"/>
      <c r="U60" s="21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96"/>
      <c r="B61" s="180" t="s">
        <v>125</v>
      </c>
      <c r="C61" s="140"/>
      <c r="D61" s="141"/>
      <c r="E61" s="265"/>
      <c r="F61" s="256">
        <f>+'Cash-Flow-2020-Leva'!F61/1000</f>
        <v>607.831</v>
      </c>
      <c r="G61" s="255">
        <f>+'Cash-Flow-2020-Leva'!G61/1000</f>
        <v>358.03</v>
      </c>
      <c r="H61" s="265"/>
      <c r="I61" s="256">
        <f>+'Cash-Flow-2020-Leva'!I61/1000</f>
        <v>2221.208</v>
      </c>
      <c r="J61" s="255">
        <f>+'Cash-Flow-2020-Leva'!J61/1000</f>
        <v>3354.372</v>
      </c>
      <c r="K61" s="265"/>
      <c r="L61" s="256">
        <f>+'Cash-Flow-2020-Leva'!L61/1000</f>
        <v>0</v>
      </c>
      <c r="M61" s="255">
        <f>+'Cash-Flow-2020-Leva'!M61/1000</f>
        <v>0</v>
      </c>
      <c r="N61" s="451"/>
      <c r="O61" s="349">
        <f t="shared" si="6"/>
        <v>2829.039</v>
      </c>
      <c r="P61" s="372">
        <f t="shared" si="6"/>
        <v>3712.402</v>
      </c>
      <c r="Q61" s="50"/>
      <c r="R61" s="210"/>
      <c r="S61" s="210"/>
      <c r="T61" s="210"/>
      <c r="U61" s="21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96"/>
      <c r="B62" s="180" t="s">
        <v>126</v>
      </c>
      <c r="C62" s="140"/>
      <c r="D62" s="141"/>
      <c r="E62" s="265"/>
      <c r="F62" s="256">
        <f>+'Cash-Flow-2020-Leva'!F62/1000</f>
        <v>0</v>
      </c>
      <c r="G62" s="255">
        <f>+'Cash-Flow-2020-Leva'!G62/1000</f>
        <v>0</v>
      </c>
      <c r="H62" s="265"/>
      <c r="I62" s="256">
        <f>+'Cash-Flow-2020-Leva'!I62/1000</f>
        <v>0</v>
      </c>
      <c r="J62" s="255">
        <f>+'Cash-Flow-2020-Leva'!J62/1000</f>
        <v>0</v>
      </c>
      <c r="K62" s="265"/>
      <c r="L62" s="256">
        <f>+'Cash-Flow-2020-Leva'!L62/1000</f>
        <v>0</v>
      </c>
      <c r="M62" s="255">
        <f>+'Cash-Flow-2020-Leva'!M62/1000</f>
        <v>0</v>
      </c>
      <c r="N62" s="451"/>
      <c r="O62" s="349">
        <f t="shared" si="6"/>
        <v>0</v>
      </c>
      <c r="P62" s="372">
        <f t="shared" si="6"/>
        <v>0</v>
      </c>
      <c r="Q62" s="50"/>
      <c r="R62" s="210"/>
      <c r="S62" s="210"/>
      <c r="T62" s="210"/>
      <c r="U62" s="21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96"/>
      <c r="B63" s="181" t="s">
        <v>252</v>
      </c>
      <c r="C63" s="142"/>
      <c r="D63" s="143"/>
      <c r="E63" s="265"/>
      <c r="F63" s="275">
        <f>+'Cash-Flow-2020-Leva'!F63/1000</f>
        <v>0</v>
      </c>
      <c r="G63" s="274">
        <f>+'Cash-Flow-2020-Leva'!G63/1000</f>
        <v>0</v>
      </c>
      <c r="H63" s="265"/>
      <c r="I63" s="275">
        <f>+'Cash-Flow-2020-Leva'!I63/1000</f>
        <v>0</v>
      </c>
      <c r="J63" s="274">
        <f>+'Cash-Flow-2020-Leva'!J63/1000</f>
        <v>0</v>
      </c>
      <c r="K63" s="265"/>
      <c r="L63" s="275">
        <f>+'Cash-Flow-2020-Leva'!L63/1000</f>
        <v>0</v>
      </c>
      <c r="M63" s="274">
        <f>+'Cash-Flow-2020-Leva'!M63/1000</f>
        <v>0</v>
      </c>
      <c r="N63" s="451"/>
      <c r="O63" s="371">
        <f t="shared" si="6"/>
        <v>0</v>
      </c>
      <c r="P63" s="404">
        <f t="shared" si="6"/>
        <v>0</v>
      </c>
      <c r="Q63" s="50"/>
      <c r="R63" s="210"/>
      <c r="S63" s="210"/>
      <c r="T63" s="210"/>
      <c r="U63" s="21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96"/>
      <c r="B64" s="194" t="s">
        <v>111</v>
      </c>
      <c r="C64" s="160"/>
      <c r="D64" s="161"/>
      <c r="E64" s="265"/>
      <c r="F64" s="277">
        <f>+'Cash-Flow-2020-Leva'!F64/1000</f>
        <v>0</v>
      </c>
      <c r="G64" s="276">
        <f>+'Cash-Flow-2020-Leva'!G64/1000</f>
        <v>0</v>
      </c>
      <c r="H64" s="265"/>
      <c r="I64" s="277">
        <f>+'Cash-Flow-2020-Leva'!I64/1000</f>
        <v>0</v>
      </c>
      <c r="J64" s="276">
        <f>+'Cash-Flow-2020-Leva'!J64/1000</f>
        <v>0</v>
      </c>
      <c r="K64" s="265"/>
      <c r="L64" s="277">
        <f>+'Cash-Flow-2020-Leva'!L64/1000</f>
        <v>0</v>
      </c>
      <c r="M64" s="276">
        <f>+'Cash-Flow-2020-Leva'!M64/1000</f>
        <v>0</v>
      </c>
      <c r="N64" s="451"/>
      <c r="O64" s="405">
        <f t="shared" si="6"/>
        <v>0</v>
      </c>
      <c r="P64" s="406">
        <f t="shared" si="6"/>
        <v>0</v>
      </c>
      <c r="Q64" s="50"/>
      <c r="R64" s="210"/>
      <c r="S64" s="210"/>
      <c r="T64" s="210"/>
      <c r="U64" s="21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96"/>
      <c r="B65" s="135" t="s">
        <v>133</v>
      </c>
      <c r="C65" s="136"/>
      <c r="D65" s="137"/>
      <c r="E65" s="265"/>
      <c r="F65" s="250">
        <f>+SUM(F60:F63)</f>
        <v>607.831</v>
      </c>
      <c r="G65" s="249">
        <f>+SUM(G60:G63)</f>
        <v>366.231</v>
      </c>
      <c r="H65" s="265"/>
      <c r="I65" s="250">
        <f>+SUM(I60:I63)</f>
        <v>2221.208</v>
      </c>
      <c r="J65" s="249">
        <f>+SUM(J60:J63)</f>
        <v>3354.372</v>
      </c>
      <c r="K65" s="265"/>
      <c r="L65" s="250">
        <f>+SUM(L60:L63)</f>
        <v>0</v>
      </c>
      <c r="M65" s="249">
        <f>+SUM(M60:M63)</f>
        <v>0</v>
      </c>
      <c r="N65" s="451"/>
      <c r="O65" s="369">
        <f>+SUM(O60:O63)</f>
        <v>2829.039</v>
      </c>
      <c r="P65" s="370">
        <f>+SUM(P60:P63)</f>
        <v>3720.603</v>
      </c>
      <c r="Q65" s="50"/>
      <c r="R65" s="210"/>
      <c r="S65" s="210"/>
      <c r="T65" s="210"/>
      <c r="U65" s="21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96"/>
      <c r="B66" s="184" t="s">
        <v>65</v>
      </c>
      <c r="C66" s="109"/>
      <c r="D66" s="113"/>
      <c r="E66" s="265"/>
      <c r="F66" s="256"/>
      <c r="G66" s="255"/>
      <c r="H66" s="265"/>
      <c r="I66" s="256"/>
      <c r="J66" s="255"/>
      <c r="K66" s="265"/>
      <c r="L66" s="256"/>
      <c r="M66" s="255"/>
      <c r="N66" s="451"/>
      <c r="O66" s="349"/>
      <c r="P66" s="372"/>
      <c r="Q66" s="50"/>
      <c r="R66" s="210"/>
      <c r="S66" s="210"/>
      <c r="T66" s="210"/>
      <c r="U66" s="21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96"/>
      <c r="B67" s="185" t="s">
        <v>253</v>
      </c>
      <c r="C67" s="144"/>
      <c r="D67" s="145"/>
      <c r="E67" s="265"/>
      <c r="F67" s="226">
        <f>+'Cash-Flow-2020-Leva'!F67/1000</f>
        <v>94.356</v>
      </c>
      <c r="G67" s="216">
        <f>+'Cash-Flow-2020-Leva'!G67/1000</f>
        <v>91.228</v>
      </c>
      <c r="H67" s="265"/>
      <c r="I67" s="226">
        <f>+'Cash-Flow-2020-Leva'!I67/1000</f>
        <v>0</v>
      </c>
      <c r="J67" s="216">
        <f>+'Cash-Flow-2020-Leva'!J67/1000</f>
        <v>0</v>
      </c>
      <c r="K67" s="265"/>
      <c r="L67" s="226">
        <f>+'Cash-Flow-2020-Leva'!L67/1000</f>
        <v>0</v>
      </c>
      <c r="M67" s="216">
        <f>+'Cash-Flow-2020-Leva'!M67/1000</f>
        <v>0</v>
      </c>
      <c r="N67" s="451"/>
      <c r="O67" s="354">
        <f>+F67+I67+L67</f>
        <v>94.356</v>
      </c>
      <c r="P67" s="347">
        <f>+G67+J67+M67</f>
        <v>91.228</v>
      </c>
      <c r="Q67" s="50"/>
      <c r="R67" s="210"/>
      <c r="S67" s="210"/>
      <c r="T67" s="210"/>
      <c r="U67" s="21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96"/>
      <c r="B68" s="181" t="s">
        <v>146</v>
      </c>
      <c r="C68" s="142"/>
      <c r="D68" s="143"/>
      <c r="E68" s="265"/>
      <c r="F68" s="256">
        <f>+'Cash-Flow-2020-Leva'!F68/1000</f>
        <v>0</v>
      </c>
      <c r="G68" s="255">
        <f>+'Cash-Flow-2020-Leva'!G68/1000</f>
        <v>0</v>
      </c>
      <c r="H68" s="265"/>
      <c r="I68" s="256">
        <f>+'Cash-Flow-2020-Leva'!I68/1000</f>
        <v>0</v>
      </c>
      <c r="J68" s="255">
        <f>+'Cash-Flow-2020-Leva'!J68/1000</f>
        <v>0</v>
      </c>
      <c r="K68" s="265"/>
      <c r="L68" s="256">
        <f>+'Cash-Flow-2020-Leva'!L68/1000</f>
        <v>0</v>
      </c>
      <c r="M68" s="255">
        <f>+'Cash-Flow-2020-Leva'!M68/1000</f>
        <v>0</v>
      </c>
      <c r="N68" s="451"/>
      <c r="O68" s="349">
        <f>+F68+I68+L68</f>
        <v>0</v>
      </c>
      <c r="P68" s="372">
        <f>+G68+J68+M68</f>
        <v>0</v>
      </c>
      <c r="Q68" s="50"/>
      <c r="R68" s="210"/>
      <c r="S68" s="210"/>
      <c r="T68" s="210"/>
      <c r="U68" s="21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96"/>
      <c r="B69" s="135" t="s">
        <v>134</v>
      </c>
      <c r="C69" s="136"/>
      <c r="D69" s="137"/>
      <c r="E69" s="265"/>
      <c r="F69" s="250">
        <f>+SUM(F67:F68)</f>
        <v>94.356</v>
      </c>
      <c r="G69" s="249">
        <f>+SUM(G67:G68)</f>
        <v>91.228</v>
      </c>
      <c r="H69" s="265"/>
      <c r="I69" s="250">
        <f>+SUM(I67:I68)</f>
        <v>0</v>
      </c>
      <c r="J69" s="249">
        <f>+SUM(J67:J68)</f>
        <v>0</v>
      </c>
      <c r="K69" s="265"/>
      <c r="L69" s="250">
        <f>+SUM(L67:L68)</f>
        <v>0</v>
      </c>
      <c r="M69" s="249">
        <f>+SUM(M67:M68)</f>
        <v>0</v>
      </c>
      <c r="N69" s="451"/>
      <c r="O69" s="369">
        <f>+SUM(O67:O68)</f>
        <v>94.356</v>
      </c>
      <c r="P69" s="370">
        <f>+SUM(P67:P68)</f>
        <v>91.228</v>
      </c>
      <c r="Q69" s="50"/>
      <c r="R69" s="210"/>
      <c r="S69" s="210"/>
      <c r="T69" s="210"/>
      <c r="U69" s="21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96"/>
      <c r="B70" s="184" t="s">
        <v>59</v>
      </c>
      <c r="C70" s="109"/>
      <c r="D70" s="113"/>
      <c r="E70" s="265"/>
      <c r="F70" s="256"/>
      <c r="G70" s="255"/>
      <c r="H70" s="265"/>
      <c r="I70" s="256"/>
      <c r="J70" s="255"/>
      <c r="K70" s="265"/>
      <c r="L70" s="256"/>
      <c r="M70" s="255"/>
      <c r="N70" s="451"/>
      <c r="O70" s="349"/>
      <c r="P70" s="372"/>
      <c r="Q70" s="50"/>
      <c r="R70" s="210"/>
      <c r="S70" s="210"/>
      <c r="T70" s="210"/>
      <c r="U70" s="21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96"/>
      <c r="B71" s="185" t="s">
        <v>60</v>
      </c>
      <c r="C71" s="144"/>
      <c r="D71" s="145"/>
      <c r="E71" s="265"/>
      <c r="F71" s="226">
        <f>+'Cash-Flow-2020-Leva'!F71/1000</f>
        <v>53.326</v>
      </c>
      <c r="G71" s="216">
        <f>+'Cash-Flow-2020-Leva'!G71/1000</f>
        <v>55.764</v>
      </c>
      <c r="H71" s="265"/>
      <c r="I71" s="226">
        <f>+'Cash-Flow-2020-Leva'!I71/1000</f>
        <v>75.878</v>
      </c>
      <c r="J71" s="216">
        <f>+'Cash-Flow-2020-Leva'!J71/1000</f>
        <v>72.17</v>
      </c>
      <c r="K71" s="265"/>
      <c r="L71" s="226">
        <f>+'Cash-Flow-2020-Leva'!L71/1000</f>
        <v>0</v>
      </c>
      <c r="M71" s="216">
        <f>+'Cash-Flow-2020-Leva'!M71/1000</f>
        <v>0</v>
      </c>
      <c r="N71" s="451"/>
      <c r="O71" s="354">
        <f>+F71+I71+L71</f>
        <v>129.204</v>
      </c>
      <c r="P71" s="347">
        <f>+G71+J71+M71</f>
        <v>127.934</v>
      </c>
      <c r="Q71" s="50"/>
      <c r="R71" s="210"/>
      <c r="S71" s="210"/>
      <c r="T71" s="210"/>
      <c r="U71" s="21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96"/>
      <c r="B72" s="181" t="s">
        <v>61</v>
      </c>
      <c r="C72" s="142"/>
      <c r="D72" s="143"/>
      <c r="E72" s="265"/>
      <c r="F72" s="256">
        <f>+'Cash-Flow-2020-Leva'!F72/1000</f>
        <v>0</v>
      </c>
      <c r="G72" s="255">
        <f>+'Cash-Flow-2020-Leva'!G72/1000</f>
        <v>0</v>
      </c>
      <c r="H72" s="265"/>
      <c r="I72" s="256">
        <f>+'Cash-Flow-2020-Leva'!I72/1000</f>
        <v>0</v>
      </c>
      <c r="J72" s="255">
        <f>+'Cash-Flow-2020-Leva'!J72/1000</f>
        <v>0</v>
      </c>
      <c r="K72" s="265"/>
      <c r="L72" s="256">
        <f>+'Cash-Flow-2020-Leva'!L72/1000</f>
        <v>0</v>
      </c>
      <c r="M72" s="255">
        <f>+'Cash-Flow-2020-Leva'!M72/1000</f>
        <v>0</v>
      </c>
      <c r="N72" s="451"/>
      <c r="O72" s="349">
        <f>+F72+I72+L72</f>
        <v>0</v>
      </c>
      <c r="P72" s="372">
        <f>+G72+J72+M72</f>
        <v>0</v>
      </c>
      <c r="Q72" s="50"/>
      <c r="R72" s="210"/>
      <c r="S72" s="210"/>
      <c r="T72" s="210"/>
      <c r="U72" s="21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96"/>
      <c r="B73" s="135" t="s">
        <v>135</v>
      </c>
      <c r="C73" s="136"/>
      <c r="D73" s="137"/>
      <c r="E73" s="265"/>
      <c r="F73" s="250">
        <f>+SUM(F71:F72)</f>
        <v>53.326</v>
      </c>
      <c r="G73" s="249">
        <f>+SUM(G71:G72)</f>
        <v>55.764</v>
      </c>
      <c r="H73" s="265"/>
      <c r="I73" s="250">
        <f>+SUM(I71:I72)</f>
        <v>75.878</v>
      </c>
      <c r="J73" s="249">
        <f>+SUM(J71:J72)</f>
        <v>72.17</v>
      </c>
      <c r="K73" s="265"/>
      <c r="L73" s="250">
        <f>+SUM(L71:L72)</f>
        <v>0</v>
      </c>
      <c r="M73" s="249">
        <f>+SUM(M71:M72)</f>
        <v>0</v>
      </c>
      <c r="N73" s="451"/>
      <c r="O73" s="369">
        <f>+SUM(O71:O72)</f>
        <v>129.204</v>
      </c>
      <c r="P73" s="370">
        <f>+SUM(P71:P72)</f>
        <v>127.934</v>
      </c>
      <c r="Q73" s="50"/>
      <c r="R73" s="210"/>
      <c r="S73" s="210"/>
      <c r="T73" s="210"/>
      <c r="U73" s="21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96"/>
      <c r="B74" s="184" t="s">
        <v>62</v>
      </c>
      <c r="C74" s="109"/>
      <c r="D74" s="113"/>
      <c r="E74" s="265"/>
      <c r="F74" s="256"/>
      <c r="G74" s="255"/>
      <c r="H74" s="265"/>
      <c r="I74" s="256"/>
      <c r="J74" s="255"/>
      <c r="K74" s="265"/>
      <c r="L74" s="256"/>
      <c r="M74" s="255"/>
      <c r="N74" s="451"/>
      <c r="O74" s="349"/>
      <c r="P74" s="372"/>
      <c r="Q74" s="50"/>
      <c r="R74" s="210"/>
      <c r="S74" s="210"/>
      <c r="T74" s="210"/>
      <c r="U74" s="21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96"/>
      <c r="B75" s="185" t="s">
        <v>63</v>
      </c>
      <c r="C75" s="144"/>
      <c r="D75" s="145"/>
      <c r="E75" s="265"/>
      <c r="F75" s="226">
        <f>+'Cash-Flow-2020-Leva'!F75/1000</f>
        <v>519.033</v>
      </c>
      <c r="G75" s="216">
        <f>+'Cash-Flow-2020-Leva'!G75/1000</f>
        <v>474.667</v>
      </c>
      <c r="H75" s="265"/>
      <c r="I75" s="226">
        <f>+'Cash-Flow-2020-Leva'!I75/1000</f>
        <v>0</v>
      </c>
      <c r="J75" s="216">
        <f>+'Cash-Flow-2020-Leva'!J75/1000</f>
        <v>0</v>
      </c>
      <c r="K75" s="265"/>
      <c r="L75" s="226">
        <f>+'Cash-Flow-2020-Leva'!L75/1000</f>
        <v>0</v>
      </c>
      <c r="M75" s="216">
        <f>+'Cash-Flow-2020-Leva'!M75/1000</f>
        <v>0</v>
      </c>
      <c r="N75" s="451"/>
      <c r="O75" s="354">
        <f>+F75+I75+L75</f>
        <v>519.033</v>
      </c>
      <c r="P75" s="347">
        <f>+G75+J75+M75</f>
        <v>474.667</v>
      </c>
      <c r="Q75" s="50"/>
      <c r="R75" s="210"/>
      <c r="S75" s="210"/>
      <c r="T75" s="210"/>
      <c r="U75" s="21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96"/>
      <c r="B76" s="181" t="s">
        <v>64</v>
      </c>
      <c r="C76" s="142"/>
      <c r="D76" s="143"/>
      <c r="E76" s="265"/>
      <c r="F76" s="256">
        <f>+'Cash-Flow-2020-Leva'!F76/1000</f>
        <v>0</v>
      </c>
      <c r="G76" s="255">
        <f>+'Cash-Flow-2020-Leva'!G76/1000</f>
        <v>29.976</v>
      </c>
      <c r="H76" s="265"/>
      <c r="I76" s="256">
        <f>+'Cash-Flow-2020-Leva'!I76/1000</f>
        <v>0</v>
      </c>
      <c r="J76" s="255">
        <f>+'Cash-Flow-2020-Leva'!J76/1000</f>
        <v>0</v>
      </c>
      <c r="K76" s="265"/>
      <c r="L76" s="256">
        <f>+'Cash-Flow-2020-Leva'!L76/1000</f>
        <v>0</v>
      </c>
      <c r="M76" s="255">
        <f>+'Cash-Flow-2020-Leva'!M76/1000</f>
        <v>0</v>
      </c>
      <c r="N76" s="451"/>
      <c r="O76" s="349">
        <f>+F76+I76+L76</f>
        <v>0</v>
      </c>
      <c r="P76" s="372">
        <f>+G76+J76+M76</f>
        <v>29.976</v>
      </c>
      <c r="Q76" s="50"/>
      <c r="R76" s="210"/>
      <c r="S76" s="210"/>
      <c r="T76" s="210"/>
      <c r="U76" s="21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96"/>
      <c r="B77" s="135" t="s">
        <v>136</v>
      </c>
      <c r="C77" s="136"/>
      <c r="D77" s="137"/>
      <c r="E77" s="265"/>
      <c r="F77" s="250">
        <f>+SUM(F75:F76)</f>
        <v>519.033</v>
      </c>
      <c r="G77" s="249">
        <f>+SUM(G75:G76)</f>
        <v>504.643</v>
      </c>
      <c r="H77" s="265"/>
      <c r="I77" s="250">
        <f>+SUM(I75:I76)</f>
        <v>0</v>
      </c>
      <c r="J77" s="249">
        <f>+SUM(J75:J76)</f>
        <v>0</v>
      </c>
      <c r="K77" s="265"/>
      <c r="L77" s="250">
        <f>+SUM(L75:L76)</f>
        <v>0</v>
      </c>
      <c r="M77" s="249">
        <f>+SUM(M75:M76)</f>
        <v>0</v>
      </c>
      <c r="N77" s="451"/>
      <c r="O77" s="369">
        <f>+SUM(O75:O76)</f>
        <v>519.033</v>
      </c>
      <c r="P77" s="370">
        <f>+SUM(P75:P76)</f>
        <v>504.643</v>
      </c>
      <c r="Q77" s="50"/>
      <c r="R77" s="210"/>
      <c r="S77" s="210"/>
      <c r="T77" s="210"/>
      <c r="U77" s="21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96"/>
      <c r="B78" s="157"/>
      <c r="C78" s="158"/>
      <c r="D78" s="159"/>
      <c r="E78" s="265"/>
      <c r="F78" s="256"/>
      <c r="G78" s="255"/>
      <c r="H78" s="265"/>
      <c r="I78" s="256"/>
      <c r="J78" s="255"/>
      <c r="K78" s="265"/>
      <c r="L78" s="256"/>
      <c r="M78" s="255"/>
      <c r="N78" s="451"/>
      <c r="O78" s="349"/>
      <c r="P78" s="372"/>
      <c r="Q78" s="50"/>
      <c r="R78" s="210"/>
      <c r="S78" s="210"/>
      <c r="T78" s="210"/>
      <c r="U78" s="21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96"/>
      <c r="B79" s="443" t="s">
        <v>258</v>
      </c>
      <c r="C79" s="171"/>
      <c r="D79" s="172"/>
      <c r="E79" s="265"/>
      <c r="F79" s="257">
        <f>+F58+F65+F69+F73+F77</f>
        <v>8702.698999999999</v>
      </c>
      <c r="G79" s="260">
        <f>+G58+G65+G69+G73+G77</f>
        <v>7459.860999999999</v>
      </c>
      <c r="H79" s="265"/>
      <c r="I79" s="257">
        <f>+I58+I65+I69+I73+I77</f>
        <v>3111.4990000000003</v>
      </c>
      <c r="J79" s="260">
        <f>+J58+J65+J69+J73+J77</f>
        <v>4445.296</v>
      </c>
      <c r="K79" s="265"/>
      <c r="L79" s="257">
        <f>+L58+L65+L69+L73+L77</f>
        <v>0</v>
      </c>
      <c r="M79" s="260">
        <f>+M58+M65+M69+M73+M77</f>
        <v>0</v>
      </c>
      <c r="N79" s="451"/>
      <c r="O79" s="373">
        <f>+O58+O65+O69+O73+O77</f>
        <v>11814.198</v>
      </c>
      <c r="P79" s="380">
        <f>+P58+P65+P69+P73+P77</f>
        <v>11905.156999999997</v>
      </c>
      <c r="Q79" s="50">
        <f>+Q58+Q65+Q69+Q73+Q77</f>
        <v>0</v>
      </c>
      <c r="R79" s="210"/>
      <c r="S79" s="210"/>
      <c r="T79" s="210"/>
      <c r="U79" s="21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96"/>
      <c r="B80" s="182" t="s">
        <v>257</v>
      </c>
      <c r="C80" s="108"/>
      <c r="D80" s="112"/>
      <c r="E80" s="265"/>
      <c r="F80" s="226"/>
      <c r="G80" s="216"/>
      <c r="H80" s="265"/>
      <c r="I80" s="226"/>
      <c r="J80" s="216"/>
      <c r="K80" s="265"/>
      <c r="L80" s="226"/>
      <c r="M80" s="216"/>
      <c r="N80" s="451"/>
      <c r="O80" s="354"/>
      <c r="P80" s="347"/>
      <c r="Q80" s="50"/>
      <c r="R80" s="210"/>
      <c r="S80" s="210"/>
      <c r="T80" s="210"/>
      <c r="U80" s="21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96"/>
      <c r="B81" s="185" t="s">
        <v>81</v>
      </c>
      <c r="C81" s="144"/>
      <c r="D81" s="145"/>
      <c r="E81" s="265"/>
      <c r="F81" s="244">
        <f>+'Cash-Flow-2020-Leva'!F81/1000</f>
        <v>9930.603</v>
      </c>
      <c r="G81" s="243">
        <f>+'Cash-Flow-2020-Leva'!G81/1000</f>
        <v>5873.32</v>
      </c>
      <c r="H81" s="265"/>
      <c r="I81" s="244">
        <f>+'Cash-Flow-2020-Leva'!I81/1000</f>
        <v>2184.791</v>
      </c>
      <c r="J81" s="243">
        <f>+'Cash-Flow-2020-Leva'!J81/1000</f>
        <v>2627.284</v>
      </c>
      <c r="K81" s="265"/>
      <c r="L81" s="244">
        <f>+'Cash-Flow-2020-Leva'!L81/1000</f>
        <v>0</v>
      </c>
      <c r="M81" s="243">
        <f>+'Cash-Flow-2020-Leva'!M81/1000</f>
        <v>0</v>
      </c>
      <c r="N81" s="451"/>
      <c r="O81" s="353">
        <f>+F81+I81+L81</f>
        <v>12115.394</v>
      </c>
      <c r="P81" s="366">
        <f>+G81+J81+M81</f>
        <v>8500.604</v>
      </c>
      <c r="Q81" s="50"/>
      <c r="R81" s="210"/>
      <c r="S81" s="210"/>
      <c r="T81" s="210"/>
      <c r="U81" s="21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96"/>
      <c r="B82" s="181" t="s">
        <v>78</v>
      </c>
      <c r="C82" s="142"/>
      <c r="D82" s="143"/>
      <c r="E82" s="265"/>
      <c r="F82" s="256">
        <f>+'Cash-Flow-2020-Leva'!F82/1000</f>
        <v>-5.925</v>
      </c>
      <c r="G82" s="255">
        <f>+'Cash-Flow-2020-Leva'!G82/1000</f>
        <v>1961</v>
      </c>
      <c r="H82" s="265"/>
      <c r="I82" s="256">
        <f>+'Cash-Flow-2020-Leva'!I82/1000</f>
        <v>5.925</v>
      </c>
      <c r="J82" s="255">
        <f>+'Cash-Flow-2020-Leva'!J82/1000</f>
        <v>-1961</v>
      </c>
      <c r="K82" s="265"/>
      <c r="L82" s="256">
        <f>+'Cash-Flow-2020-Leva'!L82/1000</f>
        <v>0</v>
      </c>
      <c r="M82" s="255">
        <f>+'Cash-Flow-2020-Leva'!M82/1000</f>
        <v>0</v>
      </c>
      <c r="N82" s="451"/>
      <c r="O82" s="349">
        <f>+F82+I82+L82</f>
        <v>0</v>
      </c>
      <c r="P82" s="372">
        <f>+G82+J82+M82</f>
        <v>0</v>
      </c>
      <c r="Q82" s="50"/>
      <c r="R82" s="210"/>
      <c r="S82" s="210"/>
      <c r="T82" s="210"/>
      <c r="U82" s="21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96"/>
      <c r="B83" s="196" t="s">
        <v>259</v>
      </c>
      <c r="C83" s="130"/>
      <c r="D83" s="131"/>
      <c r="E83" s="265"/>
      <c r="F83" s="259">
        <f>+F81+F82</f>
        <v>9924.678</v>
      </c>
      <c r="G83" s="258">
        <f>+G81+G82</f>
        <v>7834.32</v>
      </c>
      <c r="H83" s="265"/>
      <c r="I83" s="259">
        <f>+I81+I82</f>
        <v>2190.7160000000003</v>
      </c>
      <c r="J83" s="258">
        <f>+J81+J82</f>
        <v>666.2840000000001</v>
      </c>
      <c r="K83" s="265"/>
      <c r="L83" s="259">
        <f>+L81+L82</f>
        <v>0</v>
      </c>
      <c r="M83" s="258">
        <f>+M81+M82</f>
        <v>0</v>
      </c>
      <c r="N83" s="451"/>
      <c r="O83" s="374">
        <f>+O81+O82</f>
        <v>12115.394</v>
      </c>
      <c r="P83" s="375">
        <f>+P81+P82</f>
        <v>8500.604</v>
      </c>
      <c r="Q83" s="50"/>
      <c r="R83" s="210"/>
      <c r="S83" s="210"/>
      <c r="T83" s="210"/>
      <c r="U83" s="21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96"/>
      <c r="B84" s="82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6"/>
      <c r="D84" s="826"/>
      <c r="E84" s="5"/>
      <c r="F84" s="455">
        <f>+ROUND(+F85+F86,0)</f>
        <v>0</v>
      </c>
      <c r="G84" s="456">
        <f>+ROUND(+G85+G86,0)</f>
        <v>0</v>
      </c>
      <c r="H84" s="5"/>
      <c r="I84" s="455">
        <f>+ROUND(+I85+I86,0)</f>
        <v>0</v>
      </c>
      <c r="J84" s="456">
        <f>+ROUND(+J85+J86,0)</f>
        <v>0</v>
      </c>
      <c r="K84" s="5"/>
      <c r="L84" s="455">
        <f>+ROUND(+L85+L86,0)</f>
        <v>0</v>
      </c>
      <c r="M84" s="456">
        <f>+ROUND(+M85+M86,0)</f>
        <v>0</v>
      </c>
      <c r="N84" s="450"/>
      <c r="O84" s="464">
        <f>+ROUND(+O85+O86,0)</f>
        <v>0</v>
      </c>
      <c r="P84" s="465">
        <f>+ROUND(+P85+P86,0)</f>
        <v>0</v>
      </c>
      <c r="Q84" s="50"/>
      <c r="R84" s="210"/>
      <c r="S84" s="210"/>
      <c r="T84" s="210"/>
      <c r="U84" s="21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96"/>
      <c r="B85" s="201" t="s">
        <v>260</v>
      </c>
      <c r="C85" s="126"/>
      <c r="D85" s="127"/>
      <c r="E85" s="265"/>
      <c r="F85" s="280">
        <f>+F50-F79+F83</f>
        <v>3193.3150000000014</v>
      </c>
      <c r="G85" s="279">
        <f>+G50-G79+G83</f>
        <v>2150.0930000000008</v>
      </c>
      <c r="H85" s="265"/>
      <c r="I85" s="280">
        <f>+I50-I79+I83</f>
        <v>920.1550000000002</v>
      </c>
      <c r="J85" s="279">
        <f>+J50-J79+J83</f>
        <v>-1610.549</v>
      </c>
      <c r="K85" s="265"/>
      <c r="L85" s="280">
        <f>+L50-L79+L83</f>
        <v>0</v>
      </c>
      <c r="M85" s="279">
        <f>+M50-M79+M83</f>
        <v>0</v>
      </c>
      <c r="N85" s="451"/>
      <c r="O85" s="376">
        <f>+O50-O79+O83</f>
        <v>4113.47</v>
      </c>
      <c r="P85" s="377">
        <f>+P50-P79+P83</f>
        <v>539.5440000000026</v>
      </c>
      <c r="Q85" s="99"/>
      <c r="R85" s="210"/>
      <c r="S85" s="210"/>
      <c r="T85" s="210"/>
      <c r="U85" s="21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96"/>
      <c r="B86" s="202" t="s">
        <v>112</v>
      </c>
      <c r="C86" s="128"/>
      <c r="D86" s="129"/>
      <c r="E86" s="265"/>
      <c r="F86" s="282">
        <f>+F103+F122+F129-F134</f>
        <v>-3193.3149999999996</v>
      </c>
      <c r="G86" s="281">
        <f>+G103+G122+G129-G134</f>
        <v>-2150.093</v>
      </c>
      <c r="H86" s="265"/>
      <c r="I86" s="282">
        <f>+I103+I122+I129-I134</f>
        <v>-920.155</v>
      </c>
      <c r="J86" s="281">
        <f>+J103+J122+J129-J134</f>
        <v>1610.549</v>
      </c>
      <c r="K86" s="265"/>
      <c r="L86" s="282">
        <f>+L103+L122+L129-L134</f>
        <v>-4.8183679268731794E-14</v>
      </c>
      <c r="M86" s="281">
        <f>+M103+M122+M129-M134</f>
        <v>7.815970093361102E-14</v>
      </c>
      <c r="N86" s="451"/>
      <c r="O86" s="378">
        <f>+O103+O122+O129-O134</f>
        <v>-4113.469999999999</v>
      </c>
      <c r="P86" s="379">
        <f>+P103+P122+P129-P134</f>
        <v>-539.5439999999996</v>
      </c>
      <c r="Q86" s="99"/>
      <c r="R86" s="210"/>
      <c r="S86" s="210"/>
      <c r="T86" s="210"/>
      <c r="U86" s="21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96"/>
      <c r="B87" s="182" t="s">
        <v>101</v>
      </c>
      <c r="C87" s="124"/>
      <c r="D87" s="125"/>
      <c r="E87" s="265"/>
      <c r="F87" s="225"/>
      <c r="G87" s="214"/>
      <c r="H87" s="265"/>
      <c r="I87" s="225"/>
      <c r="J87" s="214"/>
      <c r="K87" s="265"/>
      <c r="L87" s="225"/>
      <c r="M87" s="214"/>
      <c r="N87" s="451"/>
      <c r="O87" s="352"/>
      <c r="P87" s="345"/>
      <c r="Q87" s="50"/>
      <c r="R87" s="210"/>
      <c r="S87" s="210"/>
      <c r="T87" s="210"/>
      <c r="U87" s="21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96"/>
      <c r="B88" s="183" t="s">
        <v>107</v>
      </c>
      <c r="C88" s="138"/>
      <c r="D88" s="139"/>
      <c r="E88" s="265"/>
      <c r="F88" s="244"/>
      <c r="G88" s="243"/>
      <c r="H88" s="265"/>
      <c r="I88" s="244"/>
      <c r="J88" s="243"/>
      <c r="K88" s="265"/>
      <c r="L88" s="244"/>
      <c r="M88" s="243"/>
      <c r="N88" s="451"/>
      <c r="O88" s="353"/>
      <c r="P88" s="366"/>
      <c r="Q88" s="50"/>
      <c r="R88" s="210"/>
      <c r="S88" s="210"/>
      <c r="T88" s="210"/>
      <c r="U88" s="21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96"/>
      <c r="B89" s="180" t="s">
        <v>108</v>
      </c>
      <c r="C89" s="140"/>
      <c r="D89" s="141"/>
      <c r="E89" s="265"/>
      <c r="F89" s="267">
        <f>+'Cash-Flow-2020-Leva'!F89/1000</f>
        <v>-0.458</v>
      </c>
      <c r="G89" s="266">
        <f>+'Cash-Flow-2020-Leva'!G89/1000</f>
        <v>0</v>
      </c>
      <c r="H89" s="265"/>
      <c r="I89" s="267">
        <f>+'Cash-Flow-2020-Leva'!I89/1000</f>
        <v>0</v>
      </c>
      <c r="J89" s="266">
        <f>+'Cash-Flow-2020-Leva'!J89/1000</f>
        <v>0</v>
      </c>
      <c r="K89" s="265"/>
      <c r="L89" s="267">
        <f>+'Cash-Flow-2020-Leva'!L89/1000</f>
        <v>0</v>
      </c>
      <c r="M89" s="266">
        <f>+'Cash-Flow-2020-Leva'!M89/1000</f>
        <v>0</v>
      </c>
      <c r="N89" s="451"/>
      <c r="O89" s="348">
        <f>+F89+I89+L89</f>
        <v>-0.458</v>
      </c>
      <c r="P89" s="400">
        <f>+G89+J89+M89</f>
        <v>0</v>
      </c>
      <c r="Q89" s="50"/>
      <c r="R89" s="210"/>
      <c r="S89" s="210"/>
      <c r="T89" s="210"/>
      <c r="U89" s="21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96"/>
      <c r="B90" s="181" t="s">
        <v>254</v>
      </c>
      <c r="C90" s="142"/>
      <c r="D90" s="143"/>
      <c r="E90" s="265"/>
      <c r="F90" s="256">
        <f>+'Cash-Flow-2020-Leva'!F90/1000</f>
        <v>0</v>
      </c>
      <c r="G90" s="255">
        <f>+'Cash-Flow-2020-Leva'!G90/1000</f>
        <v>0</v>
      </c>
      <c r="H90" s="265"/>
      <c r="I90" s="256">
        <f>+'Cash-Flow-2020-Leva'!I90/1000</f>
        <v>0</v>
      </c>
      <c r="J90" s="255">
        <f>+'Cash-Flow-2020-Leva'!J90/1000</f>
        <v>0</v>
      </c>
      <c r="K90" s="265"/>
      <c r="L90" s="256">
        <f>+'Cash-Flow-2020-Leva'!L90/1000</f>
        <v>0</v>
      </c>
      <c r="M90" s="255">
        <f>+'Cash-Flow-2020-Leva'!M90/1000</f>
        <v>0</v>
      </c>
      <c r="N90" s="451"/>
      <c r="O90" s="349">
        <f>+F90+I90+L90</f>
        <v>0</v>
      </c>
      <c r="P90" s="372">
        <f>+G90+J90+M90</f>
        <v>0</v>
      </c>
      <c r="Q90" s="50"/>
      <c r="R90" s="210"/>
      <c r="S90" s="210"/>
      <c r="T90" s="210"/>
      <c r="U90" s="21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96"/>
      <c r="B91" s="444" t="s">
        <v>261</v>
      </c>
      <c r="C91" s="133"/>
      <c r="D91" s="134"/>
      <c r="E91" s="265"/>
      <c r="F91" s="224">
        <f>+SUM(F89:F90)</f>
        <v>-0.458</v>
      </c>
      <c r="G91" s="223">
        <f>+SUM(G89:G90)</f>
        <v>0</v>
      </c>
      <c r="H91" s="265"/>
      <c r="I91" s="224">
        <f>+SUM(I89:I90)</f>
        <v>0</v>
      </c>
      <c r="J91" s="223">
        <f>+SUM(J89:J90)</f>
        <v>0</v>
      </c>
      <c r="K91" s="265"/>
      <c r="L91" s="224">
        <f>+SUM(L89:L90)</f>
        <v>0</v>
      </c>
      <c r="M91" s="223">
        <f>+SUM(M89:M90)</f>
        <v>0</v>
      </c>
      <c r="N91" s="451"/>
      <c r="O91" s="350">
        <f>+SUM(O89:O90)</f>
        <v>-0.458</v>
      </c>
      <c r="P91" s="351">
        <f>+SUM(P89:P90)</f>
        <v>0</v>
      </c>
      <c r="Q91" s="50"/>
      <c r="R91" s="210"/>
      <c r="S91" s="210"/>
      <c r="T91" s="210"/>
      <c r="U91" s="21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96"/>
      <c r="B92" s="182" t="s">
        <v>92</v>
      </c>
      <c r="C92" s="109"/>
      <c r="D92" s="113"/>
      <c r="E92" s="265"/>
      <c r="F92" s="225"/>
      <c r="G92" s="214"/>
      <c r="H92" s="265"/>
      <c r="I92" s="225"/>
      <c r="J92" s="214"/>
      <c r="K92" s="265"/>
      <c r="L92" s="225"/>
      <c r="M92" s="214"/>
      <c r="N92" s="451"/>
      <c r="O92" s="352"/>
      <c r="P92" s="345"/>
      <c r="Q92" s="50"/>
      <c r="R92" s="210"/>
      <c r="S92" s="210"/>
      <c r="T92" s="210"/>
      <c r="U92" s="21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96"/>
      <c r="B93" s="185" t="s">
        <v>95</v>
      </c>
      <c r="C93" s="144"/>
      <c r="D93" s="145"/>
      <c r="E93" s="265"/>
      <c r="F93" s="244">
        <f>+'Cash-Flow-2020-Leva'!F93/1000</f>
        <v>0</v>
      </c>
      <c r="G93" s="243">
        <f>+'Cash-Flow-2020-Leva'!G93/1000</f>
        <v>0</v>
      </c>
      <c r="H93" s="265"/>
      <c r="I93" s="244">
        <f>+'Cash-Flow-2020-Leva'!I93/1000</f>
        <v>0</v>
      </c>
      <c r="J93" s="243">
        <f>+'Cash-Flow-2020-Leva'!J93/1000</f>
        <v>0</v>
      </c>
      <c r="K93" s="265"/>
      <c r="L93" s="244">
        <f>+'Cash-Flow-2020-Leva'!L93/1000</f>
        <v>0</v>
      </c>
      <c r="M93" s="243">
        <f>+'Cash-Flow-2020-Leva'!M93/1000</f>
        <v>0</v>
      </c>
      <c r="N93" s="451"/>
      <c r="O93" s="353">
        <f aca="true" t="shared" si="7" ref="O93:P96">+F93+I93+L93</f>
        <v>0</v>
      </c>
      <c r="P93" s="366">
        <f t="shared" si="7"/>
        <v>0</v>
      </c>
      <c r="Q93" s="50"/>
      <c r="R93" s="210"/>
      <c r="S93" s="210"/>
      <c r="T93" s="210"/>
      <c r="U93" s="21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96"/>
      <c r="B94" s="442" t="s">
        <v>109</v>
      </c>
      <c r="C94" s="140"/>
      <c r="D94" s="141"/>
      <c r="E94" s="265"/>
      <c r="F94" s="256">
        <f>+'Cash-Flow-2020-Leva'!F94/1000</f>
        <v>0</v>
      </c>
      <c r="G94" s="255">
        <f>+'Cash-Flow-2020-Leva'!G94/1000</f>
        <v>0</v>
      </c>
      <c r="H94" s="265"/>
      <c r="I94" s="256">
        <f>+'Cash-Flow-2020-Leva'!I94/1000</f>
        <v>0</v>
      </c>
      <c r="J94" s="255">
        <f>+'Cash-Flow-2020-Leva'!J94/1000</f>
        <v>0</v>
      </c>
      <c r="K94" s="265"/>
      <c r="L94" s="256">
        <f>+'Cash-Flow-2020-Leva'!L94/1000</f>
        <v>0</v>
      </c>
      <c r="M94" s="255">
        <f>+'Cash-Flow-2020-Leva'!M94/1000</f>
        <v>0</v>
      </c>
      <c r="N94" s="451"/>
      <c r="O94" s="349">
        <f t="shared" si="7"/>
        <v>0</v>
      </c>
      <c r="P94" s="372">
        <f t="shared" si="7"/>
        <v>0</v>
      </c>
      <c r="Q94" s="50"/>
      <c r="R94" s="210"/>
      <c r="S94" s="210"/>
      <c r="T94" s="210"/>
      <c r="U94" s="21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96"/>
      <c r="B95" s="180" t="s">
        <v>278</v>
      </c>
      <c r="C95" s="140"/>
      <c r="D95" s="141"/>
      <c r="E95" s="265"/>
      <c r="F95" s="256">
        <f>+'Cash-Flow-2020-Leva'!F95/1000</f>
        <v>0</v>
      </c>
      <c r="G95" s="255">
        <f>+'Cash-Flow-2020-Leva'!G95/1000</f>
        <v>0</v>
      </c>
      <c r="H95" s="265"/>
      <c r="I95" s="256">
        <f>+'Cash-Flow-2020-Leva'!I95/1000</f>
        <v>0</v>
      </c>
      <c r="J95" s="255">
        <f>+'Cash-Flow-2020-Leva'!J95/1000</f>
        <v>0</v>
      </c>
      <c r="K95" s="265"/>
      <c r="L95" s="256">
        <f>+'Cash-Flow-2020-Leva'!L95/1000</f>
        <v>0</v>
      </c>
      <c r="M95" s="255">
        <f>+'Cash-Flow-2020-Leva'!M95/1000</f>
        <v>0</v>
      </c>
      <c r="N95" s="451"/>
      <c r="O95" s="349">
        <f t="shared" si="7"/>
        <v>0</v>
      </c>
      <c r="P95" s="372">
        <f t="shared" si="7"/>
        <v>0</v>
      </c>
      <c r="Q95" s="50"/>
      <c r="R95" s="210"/>
      <c r="S95" s="210"/>
      <c r="T95" s="210"/>
      <c r="U95" s="21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96"/>
      <c r="B96" s="197" t="s">
        <v>129</v>
      </c>
      <c r="C96" s="173"/>
      <c r="D96" s="174"/>
      <c r="E96" s="265"/>
      <c r="F96" s="256">
        <f>+'Cash-Flow-2020-Leva'!F96/1000</f>
        <v>0</v>
      </c>
      <c r="G96" s="255">
        <f>+'Cash-Flow-2020-Leva'!G96/1000</f>
        <v>0</v>
      </c>
      <c r="H96" s="265"/>
      <c r="I96" s="256">
        <f>+'Cash-Flow-2020-Leva'!I96/1000</f>
        <v>0</v>
      </c>
      <c r="J96" s="255">
        <f>+'Cash-Flow-2020-Leva'!J96/1000</f>
        <v>0</v>
      </c>
      <c r="K96" s="265"/>
      <c r="L96" s="256">
        <f>+'Cash-Flow-2020-Leva'!L96/1000</f>
        <v>0</v>
      </c>
      <c r="M96" s="255">
        <f>+'Cash-Flow-2020-Leva'!M96/1000</f>
        <v>0</v>
      </c>
      <c r="N96" s="451"/>
      <c r="O96" s="349">
        <f t="shared" si="7"/>
        <v>0</v>
      </c>
      <c r="P96" s="372">
        <f t="shared" si="7"/>
        <v>0</v>
      </c>
      <c r="Q96" s="50"/>
      <c r="R96" s="210"/>
      <c r="S96" s="210"/>
      <c r="T96" s="210"/>
      <c r="U96" s="21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96"/>
      <c r="B97" s="444" t="s">
        <v>262</v>
      </c>
      <c r="C97" s="133"/>
      <c r="D97" s="134"/>
      <c r="E97" s="265"/>
      <c r="F97" s="224">
        <f>+SUM(F93:F96)</f>
        <v>0</v>
      </c>
      <c r="G97" s="223">
        <f>+SUM(G93:G96)</f>
        <v>0</v>
      </c>
      <c r="H97" s="265"/>
      <c r="I97" s="224">
        <f>+SUM(I93:I96)</f>
        <v>0</v>
      </c>
      <c r="J97" s="223">
        <f>+SUM(J93:J96)</f>
        <v>0</v>
      </c>
      <c r="K97" s="265"/>
      <c r="L97" s="224">
        <f>+SUM(L93:L96)</f>
        <v>0</v>
      </c>
      <c r="M97" s="223">
        <f>+SUM(M93:M96)</f>
        <v>0</v>
      </c>
      <c r="N97" s="451"/>
      <c r="O97" s="350">
        <f>+SUM(O93:O96)</f>
        <v>0</v>
      </c>
      <c r="P97" s="351">
        <f>+SUM(P93:P96)</f>
        <v>0</v>
      </c>
      <c r="Q97" s="50"/>
      <c r="R97" s="210"/>
      <c r="S97" s="210"/>
      <c r="T97" s="210"/>
      <c r="U97" s="21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96"/>
      <c r="B98" s="184" t="s">
        <v>93</v>
      </c>
      <c r="C98" s="109"/>
      <c r="D98" s="113"/>
      <c r="E98" s="265"/>
      <c r="F98" s="225"/>
      <c r="G98" s="214"/>
      <c r="H98" s="265"/>
      <c r="I98" s="225"/>
      <c r="J98" s="214"/>
      <c r="K98" s="265"/>
      <c r="L98" s="225"/>
      <c r="M98" s="214"/>
      <c r="N98" s="451"/>
      <c r="O98" s="352"/>
      <c r="P98" s="345"/>
      <c r="Q98" s="50"/>
      <c r="R98" s="210"/>
      <c r="S98" s="210"/>
      <c r="T98" s="210"/>
      <c r="U98" s="21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96"/>
      <c r="B99" s="185" t="s">
        <v>110</v>
      </c>
      <c r="C99" s="144"/>
      <c r="D99" s="145"/>
      <c r="E99" s="265"/>
      <c r="F99" s="244">
        <f>+'Cash-Flow-2020-Leva'!F99/1000</f>
        <v>0</v>
      </c>
      <c r="G99" s="243">
        <f>+'Cash-Flow-2020-Leva'!G99/1000</f>
        <v>0</v>
      </c>
      <c r="H99" s="265"/>
      <c r="I99" s="244">
        <f>+'Cash-Flow-2020-Leva'!I99/1000</f>
        <v>0</v>
      </c>
      <c r="J99" s="243">
        <f>+'Cash-Flow-2020-Leva'!J99/1000</f>
        <v>0</v>
      </c>
      <c r="K99" s="265"/>
      <c r="L99" s="244">
        <f>+'Cash-Flow-2020-Leva'!L99/1000</f>
        <v>0</v>
      </c>
      <c r="M99" s="243">
        <f>+'Cash-Flow-2020-Leva'!M99/1000</f>
        <v>0</v>
      </c>
      <c r="N99" s="451"/>
      <c r="O99" s="353">
        <f>+F99+I99+L99</f>
        <v>0</v>
      </c>
      <c r="P99" s="366">
        <f>+G99+J99+M99</f>
        <v>0</v>
      </c>
      <c r="Q99" s="50"/>
      <c r="R99" s="210"/>
      <c r="S99" s="210"/>
      <c r="T99" s="210"/>
      <c r="U99" s="21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96"/>
      <c r="B100" s="181" t="s">
        <v>94</v>
      </c>
      <c r="C100" s="142"/>
      <c r="D100" s="143"/>
      <c r="E100" s="265"/>
      <c r="F100" s="256">
        <f>+'Cash-Flow-2020-Leva'!F100/1000</f>
        <v>-497.959</v>
      </c>
      <c r="G100" s="255">
        <f>+'Cash-Flow-2020-Leva'!G100/1000</f>
        <v>-161.937</v>
      </c>
      <c r="H100" s="265"/>
      <c r="I100" s="256">
        <f>+'Cash-Flow-2020-Leva'!I100/1000</f>
        <v>0</v>
      </c>
      <c r="J100" s="255">
        <f>+'Cash-Flow-2020-Leva'!J100/1000</f>
        <v>0</v>
      </c>
      <c r="K100" s="265"/>
      <c r="L100" s="256">
        <f>+'Cash-Flow-2020-Leva'!L100/1000</f>
        <v>0</v>
      </c>
      <c r="M100" s="255">
        <f>+'Cash-Flow-2020-Leva'!M100/1000</f>
        <v>0</v>
      </c>
      <c r="N100" s="451"/>
      <c r="O100" s="349">
        <f>+F100+I100+L100</f>
        <v>-497.959</v>
      </c>
      <c r="P100" s="372">
        <f>+G100+J100+M100</f>
        <v>-161.937</v>
      </c>
      <c r="Q100" s="50"/>
      <c r="R100" s="210"/>
      <c r="S100" s="210"/>
      <c r="T100" s="210"/>
      <c r="U100" s="21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96"/>
      <c r="B101" s="132" t="s">
        <v>137</v>
      </c>
      <c r="C101" s="133"/>
      <c r="D101" s="134"/>
      <c r="E101" s="265"/>
      <c r="F101" s="224">
        <f>+SUM(F99:F100)</f>
        <v>-497.959</v>
      </c>
      <c r="G101" s="223">
        <f>+SUM(G99:G100)</f>
        <v>-161.937</v>
      </c>
      <c r="H101" s="265"/>
      <c r="I101" s="224">
        <f>+SUM(I99:I100)</f>
        <v>0</v>
      </c>
      <c r="J101" s="223">
        <f>+SUM(J99:J100)</f>
        <v>0</v>
      </c>
      <c r="K101" s="265"/>
      <c r="L101" s="224">
        <f>+SUM(L99:L100)</f>
        <v>0</v>
      </c>
      <c r="M101" s="223">
        <f>+SUM(M99:M100)</f>
        <v>0</v>
      </c>
      <c r="N101" s="451"/>
      <c r="O101" s="350">
        <f>+SUM(O99:O100)</f>
        <v>-497.959</v>
      </c>
      <c r="P101" s="351">
        <f>+SUM(P99:P100)</f>
        <v>-161.937</v>
      </c>
      <c r="Q101" s="50"/>
      <c r="R101" s="210">
        <f>+SUM(R99:R100)</f>
        <v>0</v>
      </c>
      <c r="S101" s="210">
        <f>+SUM(S99:S100)</f>
        <v>0</v>
      </c>
      <c r="T101" s="210"/>
      <c r="U101" s="21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96"/>
      <c r="B102" s="168"/>
      <c r="C102" s="147"/>
      <c r="D102" s="148"/>
      <c r="E102" s="265"/>
      <c r="F102" s="244"/>
      <c r="G102" s="243"/>
      <c r="H102" s="265"/>
      <c r="I102" s="244"/>
      <c r="J102" s="243"/>
      <c r="K102" s="265"/>
      <c r="L102" s="244"/>
      <c r="M102" s="243"/>
      <c r="N102" s="451"/>
      <c r="O102" s="353"/>
      <c r="P102" s="366"/>
      <c r="Q102" s="50"/>
      <c r="R102" s="210"/>
      <c r="S102" s="210"/>
      <c r="T102" s="210"/>
      <c r="U102" s="21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96"/>
      <c r="B103" s="193" t="s">
        <v>104</v>
      </c>
      <c r="C103" s="169"/>
      <c r="D103" s="170"/>
      <c r="E103" s="265"/>
      <c r="F103" s="246">
        <f>+F91+F97+F101</f>
        <v>-498.41700000000003</v>
      </c>
      <c r="G103" s="245">
        <f>+G91+G97+G101</f>
        <v>-161.937</v>
      </c>
      <c r="H103" s="265"/>
      <c r="I103" s="246">
        <f>+I91+I97+I101</f>
        <v>0</v>
      </c>
      <c r="J103" s="245">
        <f>+J91+J97+J101</f>
        <v>0</v>
      </c>
      <c r="K103" s="265"/>
      <c r="L103" s="246">
        <f>+L91+L97+L101</f>
        <v>0</v>
      </c>
      <c r="M103" s="245">
        <f>+M91+M97+M101</f>
        <v>0</v>
      </c>
      <c r="N103" s="451"/>
      <c r="O103" s="367">
        <f>+O91+O97+O101</f>
        <v>-498.41700000000003</v>
      </c>
      <c r="P103" s="368">
        <f>+P91+P97+P101</f>
        <v>-161.937</v>
      </c>
      <c r="Q103" s="98"/>
      <c r="R103" s="210"/>
      <c r="S103" s="210"/>
      <c r="T103" s="210"/>
      <c r="U103" s="21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96"/>
      <c r="B104" s="182" t="s">
        <v>102</v>
      </c>
      <c r="C104" s="124"/>
      <c r="D104" s="125"/>
      <c r="E104" s="265"/>
      <c r="F104" s="226"/>
      <c r="G104" s="216"/>
      <c r="H104" s="265"/>
      <c r="I104" s="226"/>
      <c r="J104" s="216"/>
      <c r="K104" s="265"/>
      <c r="L104" s="226"/>
      <c r="M104" s="216"/>
      <c r="N104" s="451"/>
      <c r="O104" s="354"/>
      <c r="P104" s="347"/>
      <c r="Q104" s="50"/>
      <c r="R104" s="210"/>
      <c r="S104" s="210"/>
      <c r="T104" s="210"/>
      <c r="U104" s="21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96"/>
      <c r="B105" s="183" t="s">
        <v>85</v>
      </c>
      <c r="C105" s="138"/>
      <c r="D105" s="139"/>
      <c r="E105" s="265"/>
      <c r="F105" s="244"/>
      <c r="G105" s="243"/>
      <c r="H105" s="265"/>
      <c r="I105" s="244"/>
      <c r="J105" s="243"/>
      <c r="K105" s="265"/>
      <c r="L105" s="244"/>
      <c r="M105" s="243"/>
      <c r="N105" s="451"/>
      <c r="O105" s="353"/>
      <c r="P105" s="366"/>
      <c r="Q105" s="50"/>
      <c r="R105" s="210"/>
      <c r="S105" s="210"/>
      <c r="T105" s="210"/>
      <c r="U105" s="21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96"/>
      <c r="B106" s="180" t="s">
        <v>96</v>
      </c>
      <c r="C106" s="140"/>
      <c r="D106" s="141"/>
      <c r="E106" s="265"/>
      <c r="F106" s="267">
        <f>+'Cash-Flow-2020-Leva'!F106/1000</f>
        <v>0</v>
      </c>
      <c r="G106" s="266">
        <f>+'Cash-Flow-2020-Leva'!G106/1000</f>
        <v>0</v>
      </c>
      <c r="H106" s="265"/>
      <c r="I106" s="267">
        <f>+'Cash-Flow-2020-Leva'!I106/1000</f>
        <v>0</v>
      </c>
      <c r="J106" s="266">
        <f>+'Cash-Flow-2020-Leva'!J106/1000</f>
        <v>0</v>
      </c>
      <c r="K106" s="265"/>
      <c r="L106" s="267">
        <f>+'Cash-Flow-2020-Leva'!L106/1000</f>
        <v>0</v>
      </c>
      <c r="M106" s="266">
        <f>+'Cash-Flow-2020-Leva'!M106/1000</f>
        <v>0</v>
      </c>
      <c r="N106" s="451"/>
      <c r="O106" s="348">
        <f>+F106+I106+L106</f>
        <v>0</v>
      </c>
      <c r="P106" s="400">
        <f>+G106+J106+M106</f>
        <v>0</v>
      </c>
      <c r="Q106" s="50"/>
      <c r="R106" s="210"/>
      <c r="S106" s="210"/>
      <c r="T106" s="210"/>
      <c r="U106" s="21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96"/>
      <c r="B107" s="181" t="s">
        <v>97</v>
      </c>
      <c r="C107" s="142"/>
      <c r="D107" s="143"/>
      <c r="E107" s="265"/>
      <c r="F107" s="256">
        <f>+'Cash-Flow-2020-Leva'!F107/1000</f>
        <v>0</v>
      </c>
      <c r="G107" s="255">
        <f>+'Cash-Flow-2020-Leva'!G107/1000</f>
        <v>0</v>
      </c>
      <c r="H107" s="265"/>
      <c r="I107" s="256">
        <f>+'Cash-Flow-2020-Leva'!I107/1000</f>
        <v>0</v>
      </c>
      <c r="J107" s="255">
        <f>+'Cash-Flow-2020-Leva'!J107/1000</f>
        <v>0</v>
      </c>
      <c r="K107" s="265"/>
      <c r="L107" s="256">
        <f>+'Cash-Flow-2020-Leva'!L107/1000</f>
        <v>0</v>
      </c>
      <c r="M107" s="255">
        <f>+'Cash-Flow-2020-Leva'!M107/1000</f>
        <v>0</v>
      </c>
      <c r="N107" s="451"/>
      <c r="O107" s="349">
        <f>+F107+I107+L107</f>
        <v>0</v>
      </c>
      <c r="P107" s="372">
        <f>+G107+J107+M107</f>
        <v>0</v>
      </c>
      <c r="Q107" s="50"/>
      <c r="R107" s="210"/>
      <c r="S107" s="210"/>
      <c r="T107" s="210"/>
      <c r="U107" s="21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96"/>
      <c r="B108" s="135" t="s">
        <v>138</v>
      </c>
      <c r="C108" s="136"/>
      <c r="D108" s="137"/>
      <c r="E108" s="265"/>
      <c r="F108" s="250">
        <f>+SUM(F106:F107)</f>
        <v>0</v>
      </c>
      <c r="G108" s="249">
        <f>+SUM(G106:G107)</f>
        <v>0</v>
      </c>
      <c r="H108" s="265"/>
      <c r="I108" s="250">
        <f>+SUM(I106:I107)</f>
        <v>0</v>
      </c>
      <c r="J108" s="249">
        <f>+SUM(J106:J107)</f>
        <v>0</v>
      </c>
      <c r="K108" s="265"/>
      <c r="L108" s="250">
        <f>+SUM(L106:L107)</f>
        <v>0</v>
      </c>
      <c r="M108" s="249">
        <f>+SUM(M106:M107)</f>
        <v>0</v>
      </c>
      <c r="N108" s="451"/>
      <c r="O108" s="369">
        <f>+SUM(O106:O107)</f>
        <v>0</v>
      </c>
      <c r="P108" s="370">
        <f>+SUM(P106:P107)</f>
        <v>0</v>
      </c>
      <c r="Q108" s="50"/>
      <c r="R108" s="210"/>
      <c r="S108" s="210"/>
      <c r="T108" s="210"/>
      <c r="U108" s="21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96"/>
      <c r="B109" s="184" t="s">
        <v>89</v>
      </c>
      <c r="C109" s="109"/>
      <c r="D109" s="113"/>
      <c r="E109" s="265"/>
      <c r="F109" s="225"/>
      <c r="G109" s="214"/>
      <c r="H109" s="265"/>
      <c r="I109" s="225"/>
      <c r="J109" s="214"/>
      <c r="K109" s="265"/>
      <c r="L109" s="225"/>
      <c r="M109" s="214"/>
      <c r="N109" s="451"/>
      <c r="O109" s="352"/>
      <c r="P109" s="345"/>
      <c r="Q109" s="50"/>
      <c r="R109" s="210"/>
      <c r="S109" s="210"/>
      <c r="T109" s="210"/>
      <c r="U109" s="21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96"/>
      <c r="B110" s="185" t="s">
        <v>98</v>
      </c>
      <c r="C110" s="144"/>
      <c r="D110" s="145"/>
      <c r="E110" s="265"/>
      <c r="F110" s="244">
        <f>+'Cash-Flow-2020-Leva'!F110/1000</f>
        <v>251.471</v>
      </c>
      <c r="G110" s="243">
        <f>+'Cash-Flow-2020-Leva'!G110/1000</f>
        <v>3028.387</v>
      </c>
      <c r="H110" s="265"/>
      <c r="I110" s="244">
        <f>+'Cash-Flow-2020-Leva'!I110/1000</f>
        <v>0</v>
      </c>
      <c r="J110" s="243">
        <f>+'Cash-Flow-2020-Leva'!J110/1000</f>
        <v>0</v>
      </c>
      <c r="K110" s="265"/>
      <c r="L110" s="244">
        <f>+'Cash-Flow-2020-Leva'!L110/1000</f>
        <v>0</v>
      </c>
      <c r="M110" s="243">
        <f>+'Cash-Flow-2020-Leva'!M110/1000</f>
        <v>0</v>
      </c>
      <c r="N110" s="451"/>
      <c r="O110" s="353">
        <f>+F110+I110+L110</f>
        <v>251.471</v>
      </c>
      <c r="P110" s="366">
        <f>+G110+J110+M110</f>
        <v>3028.387</v>
      </c>
      <c r="Q110" s="50"/>
      <c r="R110" s="210"/>
      <c r="S110" s="210"/>
      <c r="T110" s="210"/>
      <c r="U110" s="21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96"/>
      <c r="B111" s="181" t="s">
        <v>231</v>
      </c>
      <c r="C111" s="142"/>
      <c r="D111" s="143"/>
      <c r="E111" s="265"/>
      <c r="F111" s="256">
        <f>+'Cash-Flow-2020-Leva'!F111/1000</f>
        <v>-690.045</v>
      </c>
      <c r="G111" s="255">
        <f>+'Cash-Flow-2020-Leva'!G111/1000</f>
        <v>-2721.197</v>
      </c>
      <c r="H111" s="265"/>
      <c r="I111" s="256">
        <f>+'Cash-Flow-2020-Leva'!I111/1000</f>
        <v>0</v>
      </c>
      <c r="J111" s="255">
        <f>+'Cash-Flow-2020-Leva'!J111/1000</f>
        <v>0</v>
      </c>
      <c r="K111" s="265"/>
      <c r="L111" s="256">
        <f>+'Cash-Flow-2020-Leva'!L111/1000</f>
        <v>0</v>
      </c>
      <c r="M111" s="255">
        <f>+'Cash-Flow-2020-Leva'!M111/1000</f>
        <v>0</v>
      </c>
      <c r="N111" s="451"/>
      <c r="O111" s="349">
        <f>+F111+I111+L111</f>
        <v>-690.045</v>
      </c>
      <c r="P111" s="372">
        <f>+G111+J111+M111</f>
        <v>-2721.197</v>
      </c>
      <c r="Q111" s="50"/>
      <c r="R111" s="210"/>
      <c r="S111" s="210"/>
      <c r="T111" s="210"/>
      <c r="U111" s="21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96"/>
      <c r="B112" s="135" t="s">
        <v>139</v>
      </c>
      <c r="C112" s="136"/>
      <c r="D112" s="137"/>
      <c r="E112" s="265"/>
      <c r="F112" s="250">
        <f>+SUM(F110:F111)</f>
        <v>-438.57399999999996</v>
      </c>
      <c r="G112" s="249">
        <f>+SUM(G110:G111)</f>
        <v>307.19000000000005</v>
      </c>
      <c r="H112" s="265"/>
      <c r="I112" s="250">
        <f>+SUM(I110:I111)</f>
        <v>0</v>
      </c>
      <c r="J112" s="249">
        <f>+SUM(J110:J111)</f>
        <v>0</v>
      </c>
      <c r="K112" s="265"/>
      <c r="L112" s="250">
        <f>+SUM(L110:L111)</f>
        <v>0</v>
      </c>
      <c r="M112" s="249">
        <f>+SUM(M110:M111)</f>
        <v>0</v>
      </c>
      <c r="N112" s="451"/>
      <c r="O112" s="369">
        <f>+SUM(O110:O111)</f>
        <v>-438.57399999999996</v>
      </c>
      <c r="P112" s="370">
        <f>+SUM(P110:P111)</f>
        <v>307.19000000000005</v>
      </c>
      <c r="Q112" s="50"/>
      <c r="R112" s="210"/>
      <c r="S112" s="210"/>
      <c r="T112" s="210"/>
      <c r="U112" s="21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96"/>
      <c r="B113" s="184" t="s">
        <v>86</v>
      </c>
      <c r="C113" s="109"/>
      <c r="D113" s="113"/>
      <c r="E113" s="265"/>
      <c r="F113" s="225"/>
      <c r="G113" s="214"/>
      <c r="H113" s="265"/>
      <c r="I113" s="225"/>
      <c r="J113" s="214"/>
      <c r="K113" s="265"/>
      <c r="L113" s="225"/>
      <c r="M113" s="214"/>
      <c r="N113" s="451"/>
      <c r="O113" s="352"/>
      <c r="P113" s="345"/>
      <c r="Q113" s="50"/>
      <c r="R113" s="210"/>
      <c r="S113" s="210"/>
      <c r="T113" s="210"/>
      <c r="U113" s="21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96"/>
      <c r="B114" s="185" t="s">
        <v>99</v>
      </c>
      <c r="C114" s="144"/>
      <c r="D114" s="145"/>
      <c r="E114" s="265"/>
      <c r="F114" s="244">
        <f>+'Cash-Flow-2020-Leva'!F114/1000</f>
        <v>0</v>
      </c>
      <c r="G114" s="243">
        <f>+'Cash-Flow-2020-Leva'!G114/1000</f>
        <v>0</v>
      </c>
      <c r="H114" s="265"/>
      <c r="I114" s="244">
        <f>+'Cash-Flow-2020-Leva'!I114/1000</f>
        <v>0</v>
      </c>
      <c r="J114" s="243">
        <f>+'Cash-Flow-2020-Leva'!J114/1000</f>
        <v>0</v>
      </c>
      <c r="K114" s="265"/>
      <c r="L114" s="244">
        <f>+'Cash-Flow-2020-Leva'!L114/1000</f>
        <v>0</v>
      </c>
      <c r="M114" s="243">
        <f>+'Cash-Flow-2020-Leva'!M114/1000</f>
        <v>0</v>
      </c>
      <c r="N114" s="451"/>
      <c r="O114" s="353">
        <f>+F114+I114+L114</f>
        <v>0</v>
      </c>
      <c r="P114" s="366">
        <f>+G114+J114+M114</f>
        <v>0</v>
      </c>
      <c r="Q114" s="50"/>
      <c r="R114" s="210"/>
      <c r="S114" s="210"/>
      <c r="T114" s="210"/>
      <c r="U114" s="21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96"/>
      <c r="B115" s="181" t="s">
        <v>100</v>
      </c>
      <c r="C115" s="142"/>
      <c r="D115" s="143"/>
      <c r="E115" s="265"/>
      <c r="F115" s="256">
        <f>+'Cash-Flow-2020-Leva'!F115/1000</f>
        <v>0</v>
      </c>
      <c r="G115" s="255">
        <f>+'Cash-Flow-2020-Leva'!G115/1000</f>
        <v>0</v>
      </c>
      <c r="H115" s="265"/>
      <c r="I115" s="256">
        <f>+'Cash-Flow-2020-Leva'!I115/1000</f>
        <v>0</v>
      </c>
      <c r="J115" s="255">
        <f>+'Cash-Flow-2020-Leva'!J115/1000</f>
        <v>0</v>
      </c>
      <c r="K115" s="265"/>
      <c r="L115" s="256">
        <f>+'Cash-Flow-2020-Leva'!L115/1000</f>
        <v>0</v>
      </c>
      <c r="M115" s="255">
        <f>+'Cash-Flow-2020-Leva'!M115/1000</f>
        <v>0</v>
      </c>
      <c r="N115" s="451"/>
      <c r="O115" s="349">
        <f>+F115+I115+L115</f>
        <v>0</v>
      </c>
      <c r="P115" s="372">
        <f>+G115+J115+M115</f>
        <v>0</v>
      </c>
      <c r="Q115" s="50"/>
      <c r="R115" s="210"/>
      <c r="S115" s="210"/>
      <c r="T115" s="210"/>
      <c r="U115" s="21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96"/>
      <c r="B116" s="135" t="s">
        <v>140</v>
      </c>
      <c r="C116" s="136"/>
      <c r="D116" s="137"/>
      <c r="E116" s="265"/>
      <c r="F116" s="250">
        <f>+SUM(F114:F115)</f>
        <v>0</v>
      </c>
      <c r="G116" s="249">
        <f>+SUM(G114:G115)</f>
        <v>0</v>
      </c>
      <c r="H116" s="265"/>
      <c r="I116" s="250">
        <f>+SUM(I114:I115)</f>
        <v>0</v>
      </c>
      <c r="J116" s="249">
        <f>+SUM(J114:J115)</f>
        <v>0</v>
      </c>
      <c r="K116" s="265"/>
      <c r="L116" s="250">
        <f>+SUM(L114:L115)</f>
        <v>0</v>
      </c>
      <c r="M116" s="249">
        <f>+SUM(M114:M115)</f>
        <v>0</v>
      </c>
      <c r="N116" s="451"/>
      <c r="O116" s="369">
        <f>+SUM(O114:O115)</f>
        <v>0</v>
      </c>
      <c r="P116" s="370">
        <f>+SUM(P114:P115)</f>
        <v>0</v>
      </c>
      <c r="Q116" s="50"/>
      <c r="R116" s="210"/>
      <c r="S116" s="210"/>
      <c r="T116" s="210"/>
      <c r="U116" s="21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96"/>
      <c r="B117" s="184" t="s">
        <v>90</v>
      </c>
      <c r="C117" s="109"/>
      <c r="D117" s="113"/>
      <c r="E117" s="265"/>
      <c r="F117" s="226"/>
      <c r="G117" s="216"/>
      <c r="H117" s="265"/>
      <c r="I117" s="226"/>
      <c r="J117" s="216"/>
      <c r="K117" s="265"/>
      <c r="L117" s="226"/>
      <c r="M117" s="216"/>
      <c r="N117" s="451"/>
      <c r="O117" s="354"/>
      <c r="P117" s="347"/>
      <c r="Q117" s="50"/>
      <c r="R117" s="210"/>
      <c r="S117" s="210"/>
      <c r="T117" s="210"/>
      <c r="U117" s="21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96"/>
      <c r="B118" s="185" t="s">
        <v>118</v>
      </c>
      <c r="C118" s="144"/>
      <c r="D118" s="145"/>
      <c r="E118" s="265"/>
      <c r="F118" s="226">
        <f>+'Cash-Flow-2020-Leva'!F118/1000</f>
        <v>0</v>
      </c>
      <c r="G118" s="216">
        <f>+'Cash-Flow-2020-Leva'!G118/1000</f>
        <v>0</v>
      </c>
      <c r="H118" s="265"/>
      <c r="I118" s="226">
        <f>+'Cash-Flow-2020-Leva'!I118/1000</f>
        <v>0.046</v>
      </c>
      <c r="J118" s="216">
        <f>+'Cash-Flow-2020-Leva'!J118/1000</f>
        <v>-2.748</v>
      </c>
      <c r="K118" s="265"/>
      <c r="L118" s="226">
        <f>+'Cash-Flow-2020-Leva'!L118/1000</f>
        <v>-0.603</v>
      </c>
      <c r="M118" s="216">
        <f>+'Cash-Flow-2020-Leva'!M118/1000</f>
        <v>-6.439</v>
      </c>
      <c r="N118" s="451"/>
      <c r="O118" s="354">
        <f>+F118+I118+L118</f>
        <v>-0.5569999999999999</v>
      </c>
      <c r="P118" s="347">
        <f>+G118+J118+M118</f>
        <v>-9.187000000000001</v>
      </c>
      <c r="Q118" s="50"/>
      <c r="R118" s="210"/>
      <c r="S118" s="210"/>
      <c r="T118" s="210"/>
      <c r="U118" s="21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96"/>
      <c r="B119" s="181" t="s">
        <v>119</v>
      </c>
      <c r="C119" s="142"/>
      <c r="D119" s="143"/>
      <c r="E119" s="265"/>
      <c r="F119" s="256">
        <f>+'Cash-Flow-2020-Leva'!F119/1000</f>
        <v>11.326</v>
      </c>
      <c r="G119" s="255">
        <f>+'Cash-Flow-2020-Leva'!G119/1000</f>
        <v>-11.326</v>
      </c>
      <c r="H119" s="265"/>
      <c r="I119" s="256">
        <f>+'Cash-Flow-2020-Leva'!I119/1000</f>
        <v>0</v>
      </c>
      <c r="J119" s="255">
        <f>+'Cash-Flow-2020-Leva'!J119/1000</f>
        <v>0</v>
      </c>
      <c r="K119" s="265"/>
      <c r="L119" s="256">
        <f>+'Cash-Flow-2020-Leva'!L119/1000</f>
        <v>0</v>
      </c>
      <c r="M119" s="255">
        <f>+'Cash-Flow-2020-Leva'!M119/1000</f>
        <v>0</v>
      </c>
      <c r="N119" s="451"/>
      <c r="O119" s="349">
        <f>+F119+I119+L119</f>
        <v>11.326</v>
      </c>
      <c r="P119" s="372">
        <f>+G119+J119+M119</f>
        <v>-11.326</v>
      </c>
      <c r="Q119" s="50"/>
      <c r="R119" s="210"/>
      <c r="S119" s="210"/>
      <c r="T119" s="210"/>
      <c r="U119" s="21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96"/>
      <c r="B120" s="135" t="s">
        <v>141</v>
      </c>
      <c r="C120" s="136"/>
      <c r="D120" s="137"/>
      <c r="E120" s="265"/>
      <c r="F120" s="250">
        <f>+SUM(F118:F119)</f>
        <v>11.326</v>
      </c>
      <c r="G120" s="249">
        <f>+SUM(G118:G119)</f>
        <v>-11.326</v>
      </c>
      <c r="H120" s="265"/>
      <c r="I120" s="250">
        <f>+SUM(I118:I119)</f>
        <v>0.046</v>
      </c>
      <c r="J120" s="249">
        <f>+SUM(J118:J119)</f>
        <v>-2.748</v>
      </c>
      <c r="K120" s="265"/>
      <c r="L120" s="250">
        <f>+SUM(L118:L119)</f>
        <v>-0.603</v>
      </c>
      <c r="M120" s="249">
        <f>+SUM(M118:M119)</f>
        <v>-6.439</v>
      </c>
      <c r="N120" s="451"/>
      <c r="O120" s="369">
        <f>+SUM(O118:O119)</f>
        <v>10.769</v>
      </c>
      <c r="P120" s="370">
        <f>+SUM(P118:P119)</f>
        <v>-20.513</v>
      </c>
      <c r="Q120" s="50"/>
      <c r="R120" s="210"/>
      <c r="S120" s="210"/>
      <c r="T120" s="210"/>
      <c r="U120" s="21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96"/>
      <c r="B121" s="157"/>
      <c r="C121" s="158"/>
      <c r="D121" s="159"/>
      <c r="E121" s="265"/>
      <c r="F121" s="256"/>
      <c r="G121" s="255"/>
      <c r="H121" s="265"/>
      <c r="I121" s="256"/>
      <c r="J121" s="255"/>
      <c r="K121" s="265"/>
      <c r="L121" s="256"/>
      <c r="M121" s="255"/>
      <c r="N121" s="451"/>
      <c r="O121" s="349"/>
      <c r="P121" s="372"/>
      <c r="Q121" s="50"/>
      <c r="R121" s="210"/>
      <c r="S121" s="210"/>
      <c r="T121" s="210"/>
      <c r="U121" s="21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96"/>
      <c r="B122" s="195" t="s">
        <v>143</v>
      </c>
      <c r="C122" s="171"/>
      <c r="D122" s="172"/>
      <c r="E122" s="265"/>
      <c r="F122" s="257">
        <f>+F108+F112+F116+F120</f>
        <v>-427.24799999999993</v>
      </c>
      <c r="G122" s="260">
        <f>+G108+G112+G116+G120</f>
        <v>295.86400000000003</v>
      </c>
      <c r="H122" s="265"/>
      <c r="I122" s="257">
        <f>+I108+I112+I116+I120</f>
        <v>0.046</v>
      </c>
      <c r="J122" s="260">
        <f>+J108+J112+J116+J120</f>
        <v>-2.748</v>
      </c>
      <c r="K122" s="265"/>
      <c r="L122" s="257">
        <f>+L108+L112+L116+L120</f>
        <v>-0.603</v>
      </c>
      <c r="M122" s="260">
        <f>+M108+M112+M116+M120</f>
        <v>-6.439</v>
      </c>
      <c r="N122" s="451"/>
      <c r="O122" s="373">
        <f>+O108+O112+O116+O120</f>
        <v>-427.80499999999995</v>
      </c>
      <c r="P122" s="380">
        <f>+P108+P112+P116+P120</f>
        <v>286.6770000000001</v>
      </c>
      <c r="Q122" s="50"/>
      <c r="R122" s="210"/>
      <c r="S122" s="210"/>
      <c r="T122" s="210"/>
      <c r="U122" s="21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96"/>
      <c r="B123" s="182" t="s">
        <v>116</v>
      </c>
      <c r="C123" s="124"/>
      <c r="D123" s="125"/>
      <c r="E123" s="265"/>
      <c r="F123" s="226"/>
      <c r="G123" s="216"/>
      <c r="H123" s="265"/>
      <c r="I123" s="226"/>
      <c r="J123" s="216"/>
      <c r="K123" s="265"/>
      <c r="L123" s="226"/>
      <c r="M123" s="216"/>
      <c r="N123" s="451"/>
      <c r="O123" s="354"/>
      <c r="P123" s="347"/>
      <c r="Q123" s="50"/>
      <c r="R123" s="210"/>
      <c r="S123" s="210"/>
      <c r="T123" s="210"/>
      <c r="U123" s="21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96"/>
      <c r="B124" s="185" t="s">
        <v>88</v>
      </c>
      <c r="C124" s="144"/>
      <c r="D124" s="145"/>
      <c r="E124" s="265"/>
      <c r="F124" s="244">
        <f>+'Cash-Flow-2020-Leva'!F124/1000</f>
        <v>0</v>
      </c>
      <c r="G124" s="243">
        <f>+'Cash-Flow-2020-Leva'!G124/1000</f>
        <v>0</v>
      </c>
      <c r="H124" s="265"/>
      <c r="I124" s="244">
        <f>+'Cash-Flow-2020-Leva'!I124/1000</f>
        <v>0</v>
      </c>
      <c r="J124" s="243">
        <f>+'Cash-Flow-2020-Leva'!J124/1000</f>
        <v>0</v>
      </c>
      <c r="K124" s="265"/>
      <c r="L124" s="244">
        <f>+'Cash-Flow-2020-Leva'!L124/1000</f>
        <v>0</v>
      </c>
      <c r="M124" s="243">
        <f>+'Cash-Flow-2020-Leva'!M124/1000</f>
        <v>0</v>
      </c>
      <c r="N124" s="451"/>
      <c r="O124" s="353">
        <f aca="true" t="shared" si="8" ref="O124:P126">+F124+I124+L124</f>
        <v>0</v>
      </c>
      <c r="P124" s="366">
        <f t="shared" si="8"/>
        <v>0</v>
      </c>
      <c r="Q124" s="50"/>
      <c r="R124" s="210"/>
      <c r="S124" s="210"/>
      <c r="T124" s="210"/>
      <c r="U124" s="21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96"/>
      <c r="B125" s="180" t="s">
        <v>117</v>
      </c>
      <c r="C125" s="140"/>
      <c r="D125" s="141"/>
      <c r="E125" s="265"/>
      <c r="F125" s="256">
        <f>+'Cash-Flow-2020-Leva'!F125/1000</f>
        <v>927.474</v>
      </c>
      <c r="G125" s="255">
        <f>+'Cash-Flow-2020-Leva'!G125/1000</f>
        <v>-1617.026</v>
      </c>
      <c r="H125" s="265"/>
      <c r="I125" s="256">
        <f>+'Cash-Flow-2020-Leva'!I125/1000</f>
        <v>-927.474</v>
      </c>
      <c r="J125" s="255">
        <f>+'Cash-Flow-2020-Leva'!J125/1000</f>
        <v>1617.026</v>
      </c>
      <c r="K125" s="265"/>
      <c r="L125" s="256">
        <f>+'Cash-Flow-2020-Leva'!L125/1000</f>
        <v>0</v>
      </c>
      <c r="M125" s="255">
        <f>+'Cash-Flow-2020-Leva'!M125/1000</f>
        <v>0</v>
      </c>
      <c r="N125" s="451"/>
      <c r="O125" s="349">
        <f t="shared" si="8"/>
        <v>0</v>
      </c>
      <c r="P125" s="372">
        <f t="shared" si="8"/>
        <v>0</v>
      </c>
      <c r="Q125" s="50"/>
      <c r="R125" s="210"/>
      <c r="S125" s="210"/>
      <c r="T125" s="210"/>
      <c r="U125" s="21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96"/>
      <c r="B126" s="180" t="s">
        <v>147</v>
      </c>
      <c r="C126" s="140"/>
      <c r="D126" s="141"/>
      <c r="E126" s="265"/>
      <c r="F126" s="256">
        <f>+'Cash-Flow-2020-Leva'!F126/1000</f>
        <v>0</v>
      </c>
      <c r="G126" s="255">
        <f>+'Cash-Flow-2020-Leva'!G126/1000</f>
        <v>0</v>
      </c>
      <c r="H126" s="265"/>
      <c r="I126" s="256">
        <f>+'Cash-Flow-2020-Leva'!I126/1000</f>
        <v>0</v>
      </c>
      <c r="J126" s="255">
        <f>+'Cash-Flow-2020-Leva'!J126/1000</f>
        <v>0</v>
      </c>
      <c r="K126" s="265"/>
      <c r="L126" s="256">
        <f>+'Cash-Flow-2020-Leva'!L126/1000</f>
        <v>0</v>
      </c>
      <c r="M126" s="255">
        <f>+'Cash-Flow-2020-Leva'!M126/1000</f>
        <v>0</v>
      </c>
      <c r="N126" s="451"/>
      <c r="O126" s="349">
        <f t="shared" si="8"/>
        <v>0</v>
      </c>
      <c r="P126" s="372">
        <f t="shared" si="8"/>
        <v>0</v>
      </c>
      <c r="Q126" s="50"/>
      <c r="R126" s="210"/>
      <c r="S126" s="210"/>
      <c r="T126" s="210"/>
      <c r="U126" s="21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96"/>
      <c r="B127" s="492" t="s">
        <v>281</v>
      </c>
      <c r="C127" s="490"/>
      <c r="D127" s="491"/>
      <c r="E127" s="265"/>
      <c r="F127" s="499">
        <f>+'Cash-Flow-2020-Leva'!F127/1000</f>
        <v>0</v>
      </c>
      <c r="G127" s="500">
        <f>+'Cash-Flow-2020-Leva'!G127/1000</f>
        <v>0</v>
      </c>
      <c r="H127" s="265"/>
      <c r="I127" s="499"/>
      <c r="J127" s="500"/>
      <c r="K127" s="265"/>
      <c r="L127" s="499"/>
      <c r="M127" s="500"/>
      <c r="N127" s="451"/>
      <c r="O127" s="497">
        <f>+F127+I127+L127</f>
        <v>0</v>
      </c>
      <c r="P127" s="498">
        <f>+G127+J127+M127</f>
        <v>0</v>
      </c>
      <c r="Q127" s="50"/>
      <c r="R127" s="210"/>
      <c r="S127" s="210"/>
      <c r="T127" s="210"/>
      <c r="U127" s="21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96"/>
      <c r="B128" s="198" t="s">
        <v>120</v>
      </c>
      <c r="C128" s="162"/>
      <c r="D128" s="163"/>
      <c r="E128" s="265"/>
      <c r="F128" s="262">
        <f>+IF(+'Cash-Flow-2020-Leva'!F85+'Cash-Flow-2020-Leva'!F86=0,-F157,0)</f>
        <v>0</v>
      </c>
      <c r="G128" s="261">
        <f>+IF(+'Cash-Flow-2020-Leva'!G85+'Cash-Flow-2020-Leva'!G86=0,-G157,0)</f>
        <v>0</v>
      </c>
      <c r="H128" s="265"/>
      <c r="I128" s="262">
        <f>+IF(+'Cash-Flow-2020-Leva'!I85+'Cash-Flow-2020-Leva'!I86=0,-I157,0)</f>
        <v>0</v>
      </c>
      <c r="J128" s="261">
        <f>+IF(+'Cash-Flow-2020-Leva'!J85+'Cash-Flow-2020-Leva'!J86=0,-J157,0)</f>
        <v>0</v>
      </c>
      <c r="K128" s="265"/>
      <c r="L128" s="262">
        <f>+IF(+'Cash-Flow-2020-Leva'!L85+'Cash-Flow-2020-Leva'!L86=0,-L157,0)</f>
        <v>0</v>
      </c>
      <c r="M128" s="261">
        <f>+IF(+'Cash-Flow-2020-Leva'!M85+'Cash-Flow-2020-Leva'!M86=0,-M157,0)</f>
        <v>0</v>
      </c>
      <c r="N128" s="451"/>
      <c r="O128" s="454">
        <f>+IF(+'Cash-Flow-2020-Leva'!O85+'Cash-Flow-2020-Leva'!O86=0,-O157,0)</f>
        <v>0</v>
      </c>
      <c r="P128" s="381">
        <f>+IF(+'Cash-Flow-2020-Leva'!P85+'Cash-Flow-2020-Leva'!P86=0,-P157,0)</f>
        <v>0</v>
      </c>
      <c r="Q128" s="50"/>
      <c r="R128" s="210"/>
      <c r="S128" s="210"/>
      <c r="T128" s="210"/>
      <c r="U128" s="21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96"/>
      <c r="B129" s="196" t="s">
        <v>232</v>
      </c>
      <c r="C129" s="130"/>
      <c r="D129" s="131"/>
      <c r="E129" s="265"/>
      <c r="F129" s="259">
        <f>+SUM(F124,F125,F126,F128)</f>
        <v>927.474</v>
      </c>
      <c r="G129" s="258">
        <f>+SUM(G124,G125,G126,G128)</f>
        <v>-1617.026</v>
      </c>
      <c r="H129" s="265"/>
      <c r="I129" s="259">
        <f>+SUM(I124,I125,I126,I128)</f>
        <v>-927.474</v>
      </c>
      <c r="J129" s="258">
        <f>+SUM(J124,J125,J126,J128)</f>
        <v>1617.026</v>
      </c>
      <c r="K129" s="265"/>
      <c r="L129" s="259">
        <f>+SUM(L124,L125,L126,L128)</f>
        <v>0</v>
      </c>
      <c r="M129" s="258">
        <f>+SUM(M124,M125,M126,M128)</f>
        <v>0</v>
      </c>
      <c r="N129" s="451"/>
      <c r="O129" s="374">
        <f>+SUM(O124,O125,O126,O128)</f>
        <v>0</v>
      </c>
      <c r="P129" s="375">
        <f>+SUM(P124,P125,P126,P128)</f>
        <v>0</v>
      </c>
      <c r="Q129" s="50"/>
      <c r="R129" s="210"/>
      <c r="S129" s="210"/>
      <c r="T129" s="210"/>
      <c r="U129" s="21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96"/>
      <c r="B130" s="182" t="s">
        <v>103</v>
      </c>
      <c r="C130" s="124"/>
      <c r="D130" s="125"/>
      <c r="E130" s="265"/>
      <c r="F130" s="226"/>
      <c r="G130" s="216"/>
      <c r="H130" s="265"/>
      <c r="I130" s="226"/>
      <c r="J130" s="216"/>
      <c r="K130" s="265"/>
      <c r="L130" s="226"/>
      <c r="M130" s="216"/>
      <c r="N130" s="451"/>
      <c r="O130" s="354"/>
      <c r="P130" s="347"/>
      <c r="Q130" s="50"/>
      <c r="R130" s="210"/>
      <c r="S130" s="210"/>
      <c r="T130" s="210"/>
      <c r="U130" s="21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96"/>
      <c r="B131" s="185" t="s">
        <v>106</v>
      </c>
      <c r="C131" s="144"/>
      <c r="D131" s="145"/>
      <c r="E131" s="265"/>
      <c r="F131" s="244">
        <f>+'Cash-Flow-2020-Leva'!F131/1000</f>
        <v>1452.29</v>
      </c>
      <c r="G131" s="243">
        <f>+'Cash-Flow-2020-Leva'!G131/1000</f>
        <v>785.296</v>
      </c>
      <c r="H131" s="265"/>
      <c r="I131" s="244">
        <f>+'Cash-Flow-2020-Leva'!I131/1000</f>
        <v>7.369</v>
      </c>
      <c r="J131" s="243">
        <f>+'Cash-Flow-2020-Leva'!J131/1000</f>
        <v>3.64</v>
      </c>
      <c r="K131" s="265"/>
      <c r="L131" s="244">
        <f>+'Cash-Flow-2020-Leva'!L131/1000</f>
        <v>601.492</v>
      </c>
      <c r="M131" s="243">
        <f>+'Cash-Flow-2020-Leva'!M131/1000</f>
        <v>607.931</v>
      </c>
      <c r="N131" s="451"/>
      <c r="O131" s="353">
        <f aca="true" t="shared" si="9" ref="O131:P133">+F131+I131+L131</f>
        <v>2061.151</v>
      </c>
      <c r="P131" s="366">
        <f t="shared" si="9"/>
        <v>1396.8670000000002</v>
      </c>
      <c r="Q131" s="50"/>
      <c r="R131" s="210"/>
      <c r="S131" s="210"/>
      <c r="T131" s="210"/>
      <c r="U131" s="21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96"/>
      <c r="B132" s="442" t="s">
        <v>303</v>
      </c>
      <c r="C132" s="140"/>
      <c r="D132" s="141"/>
      <c r="E132" s="265"/>
      <c r="F132" s="256">
        <f>+'Cash-Flow-2020-Leva'!F132/1000</f>
        <v>0</v>
      </c>
      <c r="G132" s="255">
        <f>+'Cash-Flow-2020-Leva'!G132/1000</f>
        <v>0</v>
      </c>
      <c r="H132" s="265"/>
      <c r="I132" s="256">
        <f>+'Cash-Flow-2020-Leva'!I132/1000</f>
        <v>0</v>
      </c>
      <c r="J132" s="255">
        <f>+'Cash-Flow-2020-Leva'!J132/1000</f>
        <v>0</v>
      </c>
      <c r="K132" s="265"/>
      <c r="L132" s="256">
        <f>+'Cash-Flow-2020-Leva'!L132/1000</f>
        <v>0</v>
      </c>
      <c r="M132" s="255">
        <f>+'Cash-Flow-2020-Leva'!M132/1000</f>
        <v>0</v>
      </c>
      <c r="N132" s="451"/>
      <c r="O132" s="349">
        <f t="shared" si="9"/>
        <v>0</v>
      </c>
      <c r="P132" s="372">
        <f t="shared" si="9"/>
        <v>0</v>
      </c>
      <c r="Q132" s="50"/>
      <c r="R132" s="210"/>
      <c r="S132" s="210"/>
      <c r="T132" s="210"/>
      <c r="U132" s="21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96"/>
      <c r="B133" s="199" t="s">
        <v>113</v>
      </c>
      <c r="C133" s="164"/>
      <c r="D133" s="165"/>
      <c r="E133" s="265"/>
      <c r="F133" s="256">
        <f>+'Cash-Flow-2020-Leva'!F133/1000</f>
        <v>4647.414</v>
      </c>
      <c r="G133" s="255">
        <f>+'Cash-Flow-2020-Leva'!G133/1000</f>
        <v>1452.29</v>
      </c>
      <c r="H133" s="265"/>
      <c r="I133" s="256">
        <f>+'Cash-Flow-2020-Leva'!I133/1000</f>
        <v>0.096</v>
      </c>
      <c r="J133" s="255">
        <f>+'Cash-Flow-2020-Leva'!J133/1000</f>
        <v>7.369</v>
      </c>
      <c r="K133" s="265"/>
      <c r="L133" s="256">
        <f>+'Cash-Flow-2020-Leva'!L133/1000</f>
        <v>600.889</v>
      </c>
      <c r="M133" s="255">
        <f>+'Cash-Flow-2020-Leva'!M133/1000</f>
        <v>601.492</v>
      </c>
      <c r="N133" s="451"/>
      <c r="O133" s="349">
        <f t="shared" si="9"/>
        <v>5248.398999999999</v>
      </c>
      <c r="P133" s="372">
        <f t="shared" si="9"/>
        <v>2061.151</v>
      </c>
      <c r="Q133" s="50"/>
      <c r="R133" s="210"/>
      <c r="S133" s="210"/>
      <c r="T133" s="210"/>
      <c r="U133" s="21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96"/>
      <c r="B134" s="200" t="s">
        <v>114</v>
      </c>
      <c r="C134" s="166"/>
      <c r="D134" s="167"/>
      <c r="E134" s="265"/>
      <c r="F134" s="264">
        <f>+F133-F131-F132</f>
        <v>3195.124</v>
      </c>
      <c r="G134" s="263">
        <f>+G133-G131-G132</f>
        <v>666.9939999999999</v>
      </c>
      <c r="H134" s="265"/>
      <c r="I134" s="264">
        <f>+I133-I131-I132</f>
        <v>-7.273</v>
      </c>
      <c r="J134" s="263">
        <f>+J133-J131-J132</f>
        <v>3.7289999999999996</v>
      </c>
      <c r="K134" s="265"/>
      <c r="L134" s="264">
        <f>+L133-L131-L132</f>
        <v>-0.6029999999999518</v>
      </c>
      <c r="M134" s="263">
        <f>+M133-M131-M132</f>
        <v>-6.439000000000078</v>
      </c>
      <c r="N134" s="451"/>
      <c r="O134" s="382">
        <f>+O133-O131-O132</f>
        <v>3187.2479999999996</v>
      </c>
      <c r="P134" s="383">
        <f>+P133-P131-P132</f>
        <v>664.2839999999997</v>
      </c>
      <c r="Q134" s="50"/>
      <c r="R134" s="210"/>
      <c r="S134" s="210"/>
      <c r="T134" s="210"/>
      <c r="U134" s="21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5"/>
      <c r="D135" s="825"/>
      <c r="E135" s="5"/>
      <c r="F135" s="457">
        <f>+ROUND(+F85+F86,0)</f>
        <v>0</v>
      </c>
      <c r="G135" s="466">
        <f>+ROUND(+G85+G86,0)</f>
        <v>0</v>
      </c>
      <c r="H135" s="458"/>
      <c r="I135" s="457">
        <f>+ROUND(+I85+I86,0)</f>
        <v>0</v>
      </c>
      <c r="J135" s="466">
        <f>+ROUND(+J85+J86,0)</f>
        <v>0</v>
      </c>
      <c r="K135" s="458"/>
      <c r="L135" s="457">
        <f>+ROUND(+L85+L86,0)</f>
        <v>0</v>
      </c>
      <c r="M135" s="466">
        <f>+ROUND(+M85+M86,0)</f>
        <v>0</v>
      </c>
      <c r="N135" s="458"/>
      <c r="O135" s="459">
        <f>+ROUND(+O85+O86,0)</f>
        <v>0</v>
      </c>
      <c r="P135" s="466">
        <f>+ROUND(+P85+P86,0)</f>
        <v>0</v>
      </c>
      <c r="Q135" s="47"/>
      <c r="R135" s="210"/>
      <c r="S135" s="210"/>
      <c r="T135" s="210"/>
      <c r="U135" s="21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96"/>
      <c r="B136" s="506" t="s">
        <v>306</v>
      </c>
      <c r="C136" s="507"/>
      <c r="D136" s="508"/>
      <c r="E136" s="265"/>
      <c r="F136" s="225"/>
      <c r="G136" s="214"/>
      <c r="H136" s="265"/>
      <c r="I136" s="225"/>
      <c r="J136" s="214"/>
      <c r="K136" s="265"/>
      <c r="L136" s="225"/>
      <c r="M136" s="214"/>
      <c r="N136" s="451"/>
      <c r="O136" s="352"/>
      <c r="P136" s="345"/>
      <c r="Q136" s="50"/>
      <c r="R136" s="210"/>
      <c r="S136" s="210"/>
      <c r="T136" s="210"/>
      <c r="U136" s="210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96"/>
      <c r="B137" s="185" t="s">
        <v>301</v>
      </c>
      <c r="C137" s="144"/>
      <c r="D137" s="145"/>
      <c r="E137" s="265"/>
      <c r="F137" s="244">
        <f>+'Cash-Flow-2020-Leva'!F137/1000</f>
        <v>1452.29</v>
      </c>
      <c r="G137" s="243">
        <f>+'Cash-Flow-2020-Leva'!G137/1000</f>
        <v>785.296</v>
      </c>
      <c r="H137" s="265"/>
      <c r="I137" s="244">
        <f>+'Cash-Flow-2020-Leva'!I137/1000</f>
        <v>7.369</v>
      </c>
      <c r="J137" s="243">
        <f>+'Cash-Flow-2020-Leva'!J137/1000</f>
        <v>3.64</v>
      </c>
      <c r="K137" s="265"/>
      <c r="L137" s="244">
        <f>+'Cash-Flow-2020-Leva'!L137/1000</f>
        <v>601.492</v>
      </c>
      <c r="M137" s="243">
        <f>+'Cash-Flow-2020-Leva'!M137/1000</f>
        <v>607.931</v>
      </c>
      <c r="N137" s="451"/>
      <c r="O137" s="353">
        <f aca="true" t="shared" si="10" ref="O137:P139">+F137+I137+L137</f>
        <v>2061.151</v>
      </c>
      <c r="P137" s="366">
        <f t="shared" si="10"/>
        <v>1396.8670000000002</v>
      </c>
      <c r="Q137" s="50"/>
      <c r="R137" s="210"/>
      <c r="S137" s="210"/>
      <c r="T137" s="210"/>
      <c r="U137" s="210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96"/>
      <c r="B138" s="442" t="s">
        <v>309</v>
      </c>
      <c r="C138" s="140"/>
      <c r="D138" s="141"/>
      <c r="E138" s="265"/>
      <c r="F138" s="256">
        <f>+'Cash-Flow-2020-Leva'!F138/1000</f>
        <v>0</v>
      </c>
      <c r="G138" s="255">
        <f>+'Cash-Flow-2020-Leva'!G138/1000</f>
        <v>0</v>
      </c>
      <c r="H138" s="265"/>
      <c r="I138" s="256">
        <f>+'Cash-Flow-2020-Leva'!I138/1000</f>
        <v>0</v>
      </c>
      <c r="J138" s="255">
        <f>+'Cash-Flow-2020-Leva'!J138/1000</f>
        <v>0</v>
      </c>
      <c r="K138" s="265"/>
      <c r="L138" s="256">
        <f>+'Cash-Flow-2020-Leva'!L138/1000</f>
        <v>0</v>
      </c>
      <c r="M138" s="255">
        <f>+'Cash-Flow-2020-Leva'!M138/1000</f>
        <v>0</v>
      </c>
      <c r="N138" s="451"/>
      <c r="O138" s="349">
        <f t="shared" si="10"/>
        <v>0</v>
      </c>
      <c r="P138" s="372">
        <f t="shared" si="10"/>
        <v>0</v>
      </c>
      <c r="Q138" s="50"/>
      <c r="R138" s="210"/>
      <c r="S138" s="210"/>
      <c r="T138" s="210"/>
      <c r="U138" s="210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96"/>
      <c r="B139" s="199" t="s">
        <v>302</v>
      </c>
      <c r="C139" s="164"/>
      <c r="D139" s="165"/>
      <c r="E139" s="265"/>
      <c r="F139" s="256">
        <f>+'Cash-Flow-2020-Leva'!F139/1000</f>
        <v>-4647.414</v>
      </c>
      <c r="G139" s="255">
        <f>+'Cash-Flow-2020-Leva'!G139/1000</f>
        <v>-1452.29</v>
      </c>
      <c r="H139" s="265"/>
      <c r="I139" s="256">
        <f>+'Cash-Flow-2020-Leva'!I139/1000</f>
        <v>-0.096</v>
      </c>
      <c r="J139" s="255">
        <f>+'Cash-Flow-2020-Leva'!J139/1000</f>
        <v>-7.369</v>
      </c>
      <c r="K139" s="265"/>
      <c r="L139" s="256">
        <f>+'Cash-Flow-2020-Leva'!L139/1000</f>
        <v>-600.889</v>
      </c>
      <c r="M139" s="255">
        <f>+'Cash-Flow-2020-Leva'!M139/1000</f>
        <v>-601.492</v>
      </c>
      <c r="N139" s="451"/>
      <c r="O139" s="349">
        <f t="shared" si="10"/>
        <v>-5248.398999999999</v>
      </c>
      <c r="P139" s="372">
        <f t="shared" si="10"/>
        <v>-2061.151</v>
      </c>
      <c r="Q139" s="50"/>
      <c r="R139" s="210"/>
      <c r="S139" s="210"/>
      <c r="T139" s="210"/>
      <c r="U139" s="210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96"/>
      <c r="B140" s="520" t="s">
        <v>322</v>
      </c>
      <c r="C140" s="166"/>
      <c r="D140" s="167"/>
      <c r="E140" s="265"/>
      <c r="F140" s="264">
        <f>+F139-F137-F138</f>
        <v>-6099.704</v>
      </c>
      <c r="G140" s="263">
        <f>+G139-G137-G138</f>
        <v>-2237.5860000000002</v>
      </c>
      <c r="H140" s="265"/>
      <c r="I140" s="264">
        <f>+I139-I137-I138</f>
        <v>-7.465</v>
      </c>
      <c r="J140" s="263">
        <f>+J139-J137-J138</f>
        <v>-11.009</v>
      </c>
      <c r="K140" s="265"/>
      <c r="L140" s="264">
        <f>+L139-L137-L138</f>
        <v>-1202.3809999999999</v>
      </c>
      <c r="M140" s="263">
        <f>+M139-M137-M138</f>
        <v>-1209.423</v>
      </c>
      <c r="N140" s="451"/>
      <c r="O140" s="382">
        <f>+O139-O137-O138</f>
        <v>-7309.549999999999</v>
      </c>
      <c r="P140" s="383">
        <f>+P139-P137-P138</f>
        <v>-3458.018</v>
      </c>
      <c r="Q140" s="50"/>
      <c r="R140" s="210"/>
      <c r="S140" s="210"/>
      <c r="T140" s="210"/>
      <c r="U140" s="21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18"/>
      <c r="C141" s="418"/>
      <c r="D141" s="418"/>
      <c r="E141" s="5"/>
      <c r="F141" s="397"/>
      <c r="G141" s="397"/>
      <c r="H141" s="5"/>
      <c r="I141" s="397"/>
      <c r="J141" s="397"/>
      <c r="K141" s="5"/>
      <c r="L141" s="397"/>
      <c r="M141" s="397"/>
      <c r="N141" s="5"/>
      <c r="O141" s="397"/>
      <c r="P141" s="397"/>
      <c r="Q141" s="47"/>
      <c r="R141" s="210"/>
      <c r="S141" s="210"/>
      <c r="T141" s="210"/>
      <c r="U141" s="21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96"/>
      <c r="B142" s="521" t="s">
        <v>313</v>
      </c>
      <c r="C142" s="522"/>
      <c r="D142" s="523"/>
      <c r="E142" s="265"/>
      <c r="F142" s="264">
        <f>+F134+F140</f>
        <v>-2904.58</v>
      </c>
      <c r="G142" s="263">
        <f>+G134+G140</f>
        <v>-1570.5920000000003</v>
      </c>
      <c r="H142" s="265"/>
      <c r="I142" s="524">
        <f>+I134+I140</f>
        <v>-14.738</v>
      </c>
      <c r="J142" s="525">
        <f>+J134+J140</f>
        <v>-7.280000000000001</v>
      </c>
      <c r="K142" s="265"/>
      <c r="L142" s="524">
        <f>+L134+L140</f>
        <v>-1202.984</v>
      </c>
      <c r="M142" s="525">
        <f>+M134+M140</f>
        <v>-1215.862</v>
      </c>
      <c r="N142" s="451"/>
      <c r="O142" s="536">
        <f>+O134+O140</f>
        <v>-4122.302</v>
      </c>
      <c r="P142" s="537">
        <f>+P134+P140</f>
        <v>-2793.7340000000004</v>
      </c>
      <c r="Q142" s="50"/>
      <c r="R142" s="210"/>
      <c r="S142" s="210"/>
      <c r="T142" s="210"/>
      <c r="U142" s="21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18"/>
      <c r="C143" s="418"/>
      <c r="D143" s="418"/>
      <c r="E143" s="5"/>
      <c r="F143" s="397"/>
      <c r="G143" s="397"/>
      <c r="H143" s="5"/>
      <c r="I143" s="397"/>
      <c r="J143" s="397"/>
      <c r="K143" s="5"/>
      <c r="L143" s="397"/>
      <c r="M143" s="397"/>
      <c r="N143" s="5"/>
      <c r="O143" s="397"/>
      <c r="P143" s="397"/>
      <c r="Q143" s="47"/>
      <c r="R143" s="210"/>
      <c r="S143" s="210"/>
      <c r="T143" s="210"/>
      <c r="U143" s="210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18"/>
      <c r="C144" s="418"/>
      <c r="D144" s="418"/>
      <c r="E144" s="5"/>
      <c r="F144" s="504">
        <f>+IF(F145&lt;&gt;0,"ГРЕШКА - ред 127",0)</f>
        <v>0</v>
      </c>
      <c r="G144" s="504">
        <f>+IF(G145&lt;&gt;0,"ГРЕШКА - ред 127",0)</f>
        <v>0</v>
      </c>
      <c r="H144" s="5"/>
      <c r="I144" s="397"/>
      <c r="J144" s="397"/>
      <c r="K144" s="5"/>
      <c r="L144" s="397"/>
      <c r="M144" s="397"/>
      <c r="N144" s="5"/>
      <c r="O144" s="397"/>
      <c r="P144" s="397"/>
      <c r="Q144" s="47"/>
      <c r="R144" s="210"/>
      <c r="S144" s="210"/>
      <c r="T144" s="210"/>
      <c r="U144" s="210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18"/>
      <c r="C145" s="418"/>
      <c r="D145" s="418"/>
      <c r="E145" s="5"/>
      <c r="F145" s="504">
        <f>+IF(AND($M$1&lt;&gt;9900,+ROUND(F127,0)&lt;&gt;0),F127,0)</f>
        <v>0</v>
      </c>
      <c r="G145" s="504">
        <f>+IF(AND($M$1&lt;&gt;9900,+ROUND(G127,0)&lt;&gt;0),G127,0)</f>
        <v>0</v>
      </c>
      <c r="H145" s="5"/>
      <c r="I145" s="397"/>
      <c r="J145" s="397"/>
      <c r="K145" s="5"/>
      <c r="L145" s="397"/>
      <c r="M145" s="397"/>
      <c r="N145" s="5"/>
      <c r="O145" s="397"/>
      <c r="P145" s="397"/>
      <c r="Q145" s="47"/>
      <c r="R145" s="210"/>
      <c r="S145" s="210"/>
      <c r="T145" s="210"/>
      <c r="U145" s="210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18"/>
      <c r="C146" s="418"/>
      <c r="D146" s="418"/>
      <c r="E146" s="5"/>
      <c r="F146" s="397"/>
      <c r="G146" s="397"/>
      <c r="H146" s="5"/>
      <c r="I146" s="397"/>
      <c r="J146" s="397"/>
      <c r="K146" s="5"/>
      <c r="L146" s="397"/>
      <c r="M146" s="397"/>
      <c r="N146" s="5"/>
      <c r="O146" s="397"/>
      <c r="P146" s="397"/>
      <c r="Q146" s="47"/>
      <c r="R146" s="210"/>
      <c r="S146" s="210"/>
      <c r="T146" s="210"/>
      <c r="U146" s="210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78">
        <f>+'Cash-Flow-2020-Leva'!C147</f>
        <v>15022021</v>
      </c>
      <c r="D147" s="50" t="s">
        <v>6</v>
      </c>
      <c r="E147" s="5"/>
      <c r="F147" s="394"/>
      <c r="G147" s="394">
        <f>+'Cash-Flow-2020-Leva'!G147:G147</f>
        <v>0</v>
      </c>
      <c r="H147" s="394">
        <f>+'Cash-Flow-2020-Leva'!H147:H147</f>
        <v>0</v>
      </c>
      <c r="I147" s="394">
        <f>+'Cash-Flow-2020-Leva'!I147:I147</f>
        <v>0</v>
      </c>
      <c r="J147" s="97" t="s">
        <v>121</v>
      </c>
      <c r="K147" s="5"/>
      <c r="L147" s="397"/>
      <c r="M147" s="397"/>
      <c r="N147" s="5"/>
      <c r="O147" s="397"/>
      <c r="P147" s="397"/>
      <c r="Q147" s="47"/>
      <c r="R147" s="210"/>
      <c r="S147" s="210"/>
      <c r="T147" s="210"/>
      <c r="U147" s="210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396"/>
      <c r="G148" s="395">
        <f>+'Cash-Flow-2020-Leva'!G148:G148</f>
        <v>0</v>
      </c>
      <c r="H148" s="395">
        <f>+'Cash-Flow-2020-Leva'!H148:H148</f>
        <v>0</v>
      </c>
      <c r="I148" s="395">
        <f>+'Cash-Flow-2020-Leva'!I148:I148</f>
        <v>0</v>
      </c>
      <c r="J148" s="49"/>
      <c r="K148" s="49"/>
      <c r="L148" s="411" t="str">
        <f>+'Cash-Flow-2020-Leva'!L148:O148</f>
        <v>име и фамилия</v>
      </c>
      <c r="M148" s="395"/>
      <c r="N148" s="396"/>
      <c r="O148" s="396"/>
      <c r="P148" s="396"/>
      <c r="Q148" s="47"/>
      <c r="R148" s="210"/>
      <c r="S148" s="210"/>
      <c r="T148" s="210"/>
      <c r="U148" s="210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0"/>
      <c r="S149" s="210"/>
      <c r="T149" s="210"/>
      <c r="U149" s="10"/>
      <c r="AA149" s="4"/>
    </row>
    <row r="150" spans="1:27" s="3" customFormat="1" ht="15.75" customHeight="1">
      <c r="A150" s="10"/>
      <c r="B150" s="467" t="s">
        <v>273</v>
      </c>
      <c r="C150" s="468"/>
      <c r="D150" s="469"/>
      <c r="E150" s="87"/>
      <c r="F150" s="478" t="str">
        <f>+IF(+F153=0,"O K","НЕРАВНЕНИЕ!")</f>
        <v>O K</v>
      </c>
      <c r="G150" s="479" t="str">
        <f>+IF(+G153=0,"O K","НЕРАВНЕНИЕ!")</f>
        <v>O K</v>
      </c>
      <c r="H150" s="87"/>
      <c r="I150" s="474" t="str">
        <f>+IF(+I153=0,"O K","НЕРАВНЕНИЕ!")</f>
        <v>O K</v>
      </c>
      <c r="J150" s="475" t="str">
        <f>+IF(+J153=0,"O K","НЕРАВНЕНИЕ!")</f>
        <v>O K</v>
      </c>
      <c r="K150" s="88"/>
      <c r="L150" s="470" t="str">
        <f>+IF(+L153=0,"O K","НЕРАВНЕНИЕ!")</f>
        <v>O K</v>
      </c>
      <c r="M150" s="471" t="str">
        <f>+IF(+M153=0,"O K","НЕРАВНЕНИЕ!")</f>
        <v>O K</v>
      </c>
      <c r="N150" s="89"/>
      <c r="O150" s="482" t="str">
        <f>+IF(+O153=0,"O K","НЕРАВНЕНИЕ!")</f>
        <v>O K</v>
      </c>
      <c r="P150" s="392" t="str">
        <f>+IF(+P153=0,"O K","НЕРАВНЕНИЕ!")</f>
        <v>O K</v>
      </c>
      <c r="Q150" s="10"/>
      <c r="R150" s="211"/>
      <c r="S150" s="211"/>
      <c r="T150" s="211"/>
      <c r="U150" s="10"/>
      <c r="AA150" s="4"/>
    </row>
    <row r="151" spans="1:27" s="3" customFormat="1" ht="15.75" customHeight="1" thickBot="1">
      <c r="A151" s="10"/>
      <c r="B151" s="467" t="s">
        <v>274</v>
      </c>
      <c r="C151" s="468"/>
      <c r="D151" s="469"/>
      <c r="E151" s="87"/>
      <c r="F151" s="478" t="str">
        <f>+IF(+F154=0,"O K","НЕРАВНЕНИЕ!")</f>
        <v>O K</v>
      </c>
      <c r="G151" s="479" t="str">
        <f>+IF(+G154=0,"O K","НЕРАВНЕНИЕ!")</f>
        <v>O K</v>
      </c>
      <c r="H151" s="87"/>
      <c r="I151" s="474" t="str">
        <f>+IF(+I154=0,"O K","НЕРАВНЕНИЕ!")</f>
        <v>O K</v>
      </c>
      <c r="J151" s="475" t="str">
        <f>+IF(+J154=0,"O K","НЕРАВНЕНИЕ!")</f>
        <v>O K</v>
      </c>
      <c r="K151" s="88"/>
      <c r="L151" s="470" t="str">
        <f>+IF(+L154=0,"O K","НЕРАВНЕНИЕ!")</f>
        <v>O K</v>
      </c>
      <c r="M151" s="471" t="str">
        <f>+IF(+M154=0,"O K","НЕРАВНЕНИЕ!")</f>
        <v>O K</v>
      </c>
      <c r="N151" s="89"/>
      <c r="O151" s="483" t="str">
        <f>+IF(+O154=0,"O K","НЕРАВНЕНИЕ!")</f>
        <v>O K</v>
      </c>
      <c r="P151" s="393" t="str">
        <f>+IF(+P154=0,"O K","НЕРАВНЕНИЕ!")</f>
        <v>O K</v>
      </c>
      <c r="Q151" s="10"/>
      <c r="R151" s="211"/>
      <c r="S151" s="211"/>
      <c r="T151" s="211"/>
      <c r="U151" s="10"/>
      <c r="AA151" s="4"/>
    </row>
    <row r="152" spans="1:27" s="3" customFormat="1" ht="13.5" thickBot="1">
      <c r="A152" s="10"/>
      <c r="B152" s="10"/>
      <c r="C152" s="10"/>
      <c r="D152" s="10"/>
      <c r="E152" s="89"/>
      <c r="F152" s="89"/>
      <c r="G152" s="89"/>
      <c r="H152" s="89"/>
      <c r="I152" s="89"/>
      <c r="J152" s="91"/>
      <c r="K152" s="89"/>
      <c r="L152" s="91"/>
      <c r="M152" s="91"/>
      <c r="N152" s="89"/>
      <c r="O152" s="89"/>
      <c r="P152" s="91"/>
      <c r="Q152" s="10"/>
      <c r="R152" s="210"/>
      <c r="S152" s="210"/>
      <c r="T152" s="210"/>
      <c r="U152" s="10"/>
      <c r="AA152" s="4"/>
    </row>
    <row r="153" spans="1:27" s="3" customFormat="1" ht="15.75">
      <c r="A153" s="10"/>
      <c r="B153" s="467" t="s">
        <v>271</v>
      </c>
      <c r="C153" s="468"/>
      <c r="D153" s="469"/>
      <c r="E153" s="87"/>
      <c r="F153" s="480">
        <f>+ROUND(+F85+F86,0)</f>
        <v>0</v>
      </c>
      <c r="G153" s="481">
        <f>+ROUND(+G85+G86,0)</f>
        <v>0</v>
      </c>
      <c r="H153" s="87"/>
      <c r="I153" s="476">
        <f>+ROUND(+I85+I86,0)</f>
        <v>0</v>
      </c>
      <c r="J153" s="477">
        <f>+ROUND(+J85+J86,0)</f>
        <v>0</v>
      </c>
      <c r="K153" s="88"/>
      <c r="L153" s="472">
        <f>+ROUND(+L85+L86,0)</f>
        <v>0</v>
      </c>
      <c r="M153" s="473">
        <f>+ROUND(+M85+M86,0)</f>
        <v>0</v>
      </c>
      <c r="N153" s="89"/>
      <c r="O153" s="484">
        <f>+ROUND(+O85+O86,0)</f>
        <v>0</v>
      </c>
      <c r="P153" s="392">
        <f>+ROUND(+P85+P86,0)</f>
        <v>0</v>
      </c>
      <c r="Q153" s="10"/>
      <c r="R153" s="210"/>
      <c r="S153" s="210"/>
      <c r="T153" s="210"/>
      <c r="U153" s="10"/>
      <c r="AA153" s="4"/>
    </row>
    <row r="154" spans="1:27" s="3" customFormat="1" ht="16.5" thickBot="1">
      <c r="A154" s="10"/>
      <c r="B154" s="467" t="s">
        <v>272</v>
      </c>
      <c r="C154" s="468"/>
      <c r="D154" s="469"/>
      <c r="E154" s="87"/>
      <c r="F154" s="480">
        <f>ROUND(SUM(+F85+F103+F122+F129+F131+F132)-F133,0)</f>
        <v>0</v>
      </c>
      <c r="G154" s="481">
        <f>ROUND(SUM(+G85+G103+G122+G129+G131+G132)-G133,0)</f>
        <v>0</v>
      </c>
      <c r="H154" s="87"/>
      <c r="I154" s="476">
        <f>ROUND(SUM(+I85+I103+I122+I129+I131+I132)-I133,0)</f>
        <v>0</v>
      </c>
      <c r="J154" s="477">
        <f>ROUND(SUM(+J85+J103+J122+J129+J131+J132)-J133,0)</f>
        <v>0</v>
      </c>
      <c r="K154" s="88"/>
      <c r="L154" s="472">
        <f>ROUND(SUM(+L85+L103+L122+L129+L131+L132)-L133,0)</f>
        <v>0</v>
      </c>
      <c r="M154" s="473">
        <f>ROUND(SUM(+M85+M103+M122+M129+M131+M132)-M133,0)</f>
        <v>0</v>
      </c>
      <c r="N154" s="89"/>
      <c r="O154" s="485">
        <f>ROUND(SUM(+O85+O103+O122+O129+O131+O132)-O133,0)</f>
        <v>0</v>
      </c>
      <c r="P154" s="393">
        <f>ROUND(SUM(+P85+P103+P122+P129+P131+P132)-P133,0)</f>
        <v>0</v>
      </c>
      <c r="Q154" s="10"/>
      <c r="R154" s="210"/>
      <c r="S154" s="210"/>
      <c r="T154" s="210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0"/>
      <c r="S155" s="210"/>
      <c r="T155" s="210"/>
      <c r="U155" s="10"/>
      <c r="AA155" s="4"/>
    </row>
    <row r="156" spans="1:27" s="3" customFormat="1" ht="18" customHeight="1">
      <c r="A156" s="103"/>
      <c r="B156" s="176" t="s">
        <v>320</v>
      </c>
      <c r="C156" s="179"/>
      <c r="D156" s="104"/>
      <c r="E156" s="10"/>
      <c r="F156" s="101">
        <f>+IF(AND(+(F84-F128)&lt;&gt;0,+'Cash-Flow-2020-Leva'!F85+'Cash-Flow-2020-Leva'!F86=0),+(F84-F128),0)</f>
        <v>0</v>
      </c>
      <c r="G156" s="100">
        <f>+IF(AND(+(G84-G128)&lt;&gt;0,+'Cash-Flow-2020-Leva'!G85+'Cash-Flow-2020-Leva'!G86=0),+(G84-G128),0)</f>
        <v>0</v>
      </c>
      <c r="H156" s="10"/>
      <c r="I156" s="101">
        <f>+IF(AND(+(I84-I128)&lt;&gt;0,+'Cash-Flow-2020-Leva'!I85+'Cash-Flow-2020-Leva'!I86=0),+(I84-I128),0)</f>
        <v>0</v>
      </c>
      <c r="J156" s="100">
        <f>+IF(AND(+(J84-J128)&lt;&gt;0,+'Cash-Flow-2020-Leva'!J85+'Cash-Flow-2020-Leva'!J86=0),+(J84-J128),0)</f>
        <v>0</v>
      </c>
      <c r="K156" s="10"/>
      <c r="L156" s="101">
        <f>+IF(AND(+(L84-L128)&lt;&gt;0,+'Cash-Flow-2020-Leva'!L85+'Cash-Flow-2020-Leva'!L86=0),+(L84-L128),0)</f>
        <v>0</v>
      </c>
      <c r="M156" s="100">
        <f>+IF(AND(+(M84-M128)&lt;&gt;0,+'Cash-Flow-2020-Leva'!M85+'Cash-Flow-2020-Leva'!M86=0),+(M84-M128),0)</f>
        <v>0</v>
      </c>
      <c r="N156" s="10"/>
      <c r="O156" s="486">
        <f>+IF(AND(+(O84-O128)&lt;&gt;0,+'Cash-Flow-2020-Leva'!O85+'Cash-Flow-2020-Leva'!O86=0),+(O84-O128),0)</f>
        <v>0</v>
      </c>
      <c r="P156" s="487">
        <f>+IF(AND(+(P84-P128)&lt;&gt;0,+'Cash-Flow-2020-Leva'!P85+'Cash-Flow-2020-Leva'!P86=0),+(P84-P128),0)</f>
        <v>0</v>
      </c>
      <c r="Q156" s="10"/>
      <c r="R156" s="210"/>
      <c r="S156" s="210"/>
      <c r="T156" s="210"/>
      <c r="U156" s="10"/>
      <c r="AA156" s="4"/>
    </row>
    <row r="157" spans="1:27" s="3" customFormat="1" ht="18" customHeight="1" thickBot="1">
      <c r="A157" s="445" t="s">
        <v>319</v>
      </c>
      <c r="B157" s="175"/>
      <c r="C157" s="175"/>
      <c r="D157" s="105"/>
      <c r="E157" s="10"/>
      <c r="F157" s="335"/>
      <c r="G157" s="102"/>
      <c r="H157" s="10"/>
      <c r="I157" s="335"/>
      <c r="J157" s="102"/>
      <c r="K157" s="10"/>
      <c r="L157" s="335"/>
      <c r="M157" s="102"/>
      <c r="N157" s="10"/>
      <c r="O157" s="488"/>
      <c r="P157" s="489"/>
      <c r="Q157" s="10"/>
      <c r="R157" s="210"/>
      <c r="S157" s="210"/>
      <c r="T157" s="210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0"/>
      <c r="S158" s="210"/>
      <c r="T158" s="21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0"/>
      <c r="S159" s="210"/>
      <c r="T159" s="21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0"/>
      <c r="S160" s="210"/>
      <c r="T160" s="21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0"/>
      <c r="S161" s="210"/>
      <c r="T161" s="21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0"/>
      <c r="S162" s="210"/>
      <c r="T162" s="21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0"/>
      <c r="S163" s="210"/>
      <c r="T163" s="21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0"/>
      <c r="S164" s="210"/>
      <c r="T164" s="21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0"/>
      <c r="S165" s="210"/>
      <c r="T165" s="21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0"/>
      <c r="S166" s="210"/>
      <c r="T166" s="21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0"/>
      <c r="S167" s="210"/>
      <c r="T167" s="21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0"/>
      <c r="S168" s="210"/>
      <c r="T168" s="21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0"/>
      <c r="S169" s="210"/>
      <c r="T169" s="21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0"/>
      <c r="S170" s="210"/>
      <c r="T170" s="21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0"/>
      <c r="S171" s="210"/>
      <c r="T171" s="21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0"/>
      <c r="S172" s="210"/>
      <c r="T172" s="21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0"/>
      <c r="S173" s="210"/>
      <c r="T173" s="21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0"/>
      <c r="S174" s="210"/>
      <c r="T174" s="21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0"/>
      <c r="S175" s="210"/>
      <c r="T175" s="21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0"/>
      <c r="S176" s="210"/>
      <c r="T176" s="21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0"/>
      <c r="S177" s="210"/>
      <c r="T177" s="21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0"/>
      <c r="S178" s="210"/>
      <c r="T178" s="21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0"/>
      <c r="S179" s="210"/>
      <c r="T179" s="21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0"/>
      <c r="S180" s="210"/>
      <c r="T180" s="21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0"/>
      <c r="S181" s="210"/>
      <c r="T181" s="21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0"/>
      <c r="S182" s="210"/>
      <c r="T182" s="21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0"/>
      <c r="S183" s="210"/>
      <c r="T183" s="21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0"/>
      <c r="S184" s="210"/>
      <c r="T184" s="21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0"/>
      <c r="S185" s="210"/>
      <c r="T185" s="21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0"/>
      <c r="S186" s="210"/>
      <c r="T186" s="21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0"/>
      <c r="S187" s="210"/>
      <c r="T187" s="21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0"/>
      <c r="S188" s="210"/>
      <c r="T188" s="21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0"/>
      <c r="S189" s="210"/>
      <c r="T189" s="21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0"/>
      <c r="S190" s="210"/>
      <c r="T190" s="21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0"/>
      <c r="S191" s="210"/>
      <c r="T191" s="21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0"/>
      <c r="S192" s="210"/>
      <c r="T192" s="21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0"/>
      <c r="S193" s="210"/>
      <c r="T193" s="21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0"/>
      <c r="S194" s="210"/>
      <c r="T194" s="21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0"/>
      <c r="S195" s="210"/>
      <c r="T195" s="21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0"/>
      <c r="S196" s="210"/>
      <c r="T196" s="21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0"/>
      <c r="S197" s="210"/>
      <c r="T197" s="21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0"/>
      <c r="S198" s="210"/>
      <c r="T198" s="21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12"/>
      <c r="S199" s="212"/>
      <c r="T199" s="21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12"/>
      <c r="S200" s="212"/>
      <c r="T200" s="21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12"/>
      <c r="S201" s="212"/>
      <c r="T201" s="21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12"/>
      <c r="S202" s="212"/>
      <c r="T202" s="21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12"/>
      <c r="S203" s="212"/>
      <c r="T203" s="21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12"/>
      <c r="S204" s="212"/>
      <c r="T204" s="21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12"/>
      <c r="S205" s="212"/>
      <c r="T205" s="21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12"/>
      <c r="S206" s="212"/>
      <c r="T206" s="21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12"/>
      <c r="S207" s="212"/>
      <c r="T207" s="21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12"/>
      <c r="S208" s="212"/>
      <c r="T208" s="21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12"/>
      <c r="S209" s="212"/>
      <c r="T209" s="21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12"/>
      <c r="S210" s="212"/>
      <c r="T210" s="21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12"/>
      <c r="S211" s="212"/>
      <c r="T211" s="21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12"/>
      <c r="S212" s="212"/>
      <c r="T212" s="21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12"/>
      <c r="S213" s="212"/>
      <c r="T213" s="21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12"/>
      <c r="S214" s="212"/>
      <c r="T214" s="21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12"/>
      <c r="S215" s="212"/>
      <c r="T215" s="21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12"/>
      <c r="S216" s="212"/>
      <c r="T216" s="21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12"/>
      <c r="S217" s="212"/>
      <c r="T217" s="212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12"/>
      <c r="S218" s="212"/>
      <c r="T218" s="212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12"/>
      <c r="S219" s="212"/>
      <c r="T219" s="212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12"/>
      <c r="S220" s="212"/>
      <c r="T220" s="212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12"/>
      <c r="S221" s="212"/>
      <c r="T221" s="212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12"/>
      <c r="S222" s="212"/>
      <c r="T222" s="212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2020-03-18T16:57:49Z</cp:lastPrinted>
  <dcterms:created xsi:type="dcterms:W3CDTF">2015-12-01T07:17:04Z</dcterms:created>
  <dcterms:modified xsi:type="dcterms:W3CDTF">2021-02-23T12:45:05Z</dcterms:modified>
  <cp:category/>
  <cp:version/>
  <cp:contentType/>
  <cp:contentStatus/>
</cp:coreProperties>
</file>